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comments7.xml" ContentType="application/vnd.openxmlformats-officedocument.spreadsheetml.comments+xml"/>
  <Override PartName="/xl/drawings/drawing8.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9.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PRASAD\PROJECT\line-protection-parent\line-protection-parent\src\main\resources\"/>
    </mc:Choice>
  </mc:AlternateContent>
  <xr:revisionPtr revIDLastSave="0" documentId="13_ncr:1_{0697032E-FAE4-457D-9342-3FFF3F0CC8A7}" xr6:coauthVersionLast="47" xr6:coauthVersionMax="47" xr10:uidLastSave="{00000000-0000-0000-0000-000000000000}"/>
  <bookViews>
    <workbookView xWindow="-108" yWindow="-108" windowWidth="23256" windowHeight="12456" tabRatio="792" xr2:uid="{00000000-000D-0000-FFFF-FFFF00000000}"/>
  </bookViews>
  <sheets>
    <sheet name="1) Data Entry" sheetId="1" r:id="rId1"/>
    <sheet name="PRC-025 Generator Data Sheet" sheetId="31" state="hidden" r:id="rId2"/>
    <sheet name="2) Project System" sheetId="2" state="hidden" r:id="rId3"/>
    <sheet name="3) Aspen Impedances" sheetId="10" r:id="rId4"/>
    <sheet name="4) Fault Analysis" sheetId="3" r:id="rId5"/>
    <sheet name="5) Infeed" sheetId="4" r:id="rId6"/>
    <sheet name="6) Zone Imp" sheetId="5" r:id="rId7"/>
    <sheet name="7) Relay Calc" sheetId="8" r:id="rId8"/>
    <sheet name="8) LOP &amp; Ground TOC" sheetId="17" r:id="rId9"/>
    <sheet name="9) Transfer Trip" sheetId="18" r:id="rId10"/>
    <sheet name="10) SOTF" sheetId="20" r:id="rId11"/>
    <sheet name="11) BF Fault Det" sheetId="6" r:id="rId12"/>
    <sheet name="BF Fault Det (2)" sheetId="24" r:id="rId13"/>
    <sheet name="12) Close &amp; Sync Check" sheetId="9" r:id="rId14"/>
    <sheet name="13) NERC PRC Compliance Sheet" sheetId="23" r:id="rId15"/>
    <sheet name="14) References" sheetId="11" r:id="rId16"/>
    <sheet name="15) Notes &amp; Additional Calcs" sheetId="12" r:id="rId17"/>
    <sheet name="SEL-421-5 Relay Settings " sheetId="27" r:id="rId18"/>
    <sheet name="16) Summary Sheet2" sheetId="26" state="hidden" r:id="rId19"/>
    <sheet name="SEL-411L Relay Settings" sheetId="28" r:id="rId20"/>
    <sheet name="SEL-311C-1 Relay Settings" sheetId="29" r:id="rId21"/>
    <sheet name="SEL-311C-0 Relay Settings" sheetId="32" r:id="rId22"/>
    <sheet name="SEL-311L Relay Settings" sheetId="30" r:id="rId23"/>
    <sheet name="16) Summary Sheet" sheetId="14" r:id="rId24"/>
    <sheet name="16) Export SEL-421-3" sheetId="13" state="hidden" r:id="rId25"/>
    <sheet name="17) Backup" sheetId="15" state="hidden" r:id="rId26"/>
    <sheet name="18) Export SEL-311C" sheetId="16" state="hidden" r:id="rId27"/>
    <sheet name="Log Sheet" sheetId="25" r:id="rId28"/>
    <sheet name="SDA Translation Table" sheetId="37" r:id="rId29"/>
    <sheet name="PRC-026 Evaluation" sheetId="38" r:id="rId30"/>
    <sheet name="SDA Raw Results" sheetId="39" r:id="rId31"/>
    <sheet name="SDA Log" sheetId="40" r:id="rId32"/>
  </sheets>
  <functionGroups builtInGroupCount="19"/>
  <externalReferences>
    <externalReference r:id="rId33"/>
  </externalReferences>
  <definedNames>
    <definedName name="_25VH" localSheetId="18">'12) Close &amp; Sync Check'!$K$24</definedName>
    <definedName name="_25VH">'12) Close &amp; Sync Check'!$K$24</definedName>
    <definedName name="_25VL" localSheetId="18">'12) Close &amp; Sync Check'!$K$25</definedName>
    <definedName name="_25VL">'12) Close &amp; Sync Check'!$K$25</definedName>
    <definedName name="_27BK1P" localSheetId="18">'12) Close &amp; Sync Check'!$K$32</definedName>
    <definedName name="_27BK1P">'12) Close &amp; Sync Check'!$K$32</definedName>
    <definedName name="_27BK2P">'12) Close &amp; Sync Check'!$K$34</definedName>
    <definedName name="_27LP" localSheetId="18">'12) Close &amp; Sync Check'!$K$30</definedName>
    <definedName name="_27LP">'12) Close &amp; Sync Check'!$K$30</definedName>
    <definedName name="_27P" localSheetId="18">'10) SOTF'!$S$36</definedName>
    <definedName name="_27P">'10) SOTF'!$S$36</definedName>
    <definedName name="_27PP" localSheetId="18">'9) Transfer Trip'!$S$37</definedName>
    <definedName name="_27PP">'9) Transfer Trip'!$S$37</definedName>
    <definedName name="_421_67P1TC">'10) SOTF'!$Q$39</definedName>
    <definedName name="_50FP1" localSheetId="18">'11) BF Fault Det'!$AA$26</definedName>
    <definedName name="_50FP1">'11) BF Fault Det'!$AA$26</definedName>
    <definedName name="_50FP2" localSheetId="12">'BF Fault Det (2)'!$AA$26</definedName>
    <definedName name="_50G2P" localSheetId="18">'4) Fault Analysis'!$S$221</definedName>
    <definedName name="_50G2P">'4) Fault Analysis'!$S$221</definedName>
    <definedName name="_50G3P" localSheetId="18">'4) Fault Analysis'!$S$230</definedName>
    <definedName name="_50G3P">'4) Fault Analysis'!$S$230</definedName>
    <definedName name="_50G4P" localSheetId="18">'9) Transfer Trip'!$S$67</definedName>
    <definedName name="_50G4P">'9) Transfer Trip'!$S$67</definedName>
    <definedName name="_50P1P" localSheetId="18">'10) SOTF'!$S$29</definedName>
    <definedName name="_50P1P">'10) SOTF'!$S$29</definedName>
    <definedName name="_50P2P" localSheetId="18">'8) LOP &amp; Ground TOC'!$S$58</definedName>
    <definedName name="_50P2P">'8) LOP &amp; Ground TOC'!$S$58</definedName>
    <definedName name="_50P3P" localSheetId="18">'10) SOTF'!$S$55</definedName>
    <definedName name="_50P3P">'10) SOTF'!$S$55</definedName>
    <definedName name="_50P4P" localSheetId="18">'9) Transfer Trip'!$S$61</definedName>
    <definedName name="_50P4P">'9) Transfer Trip'!$S$61</definedName>
    <definedName name="_50PP1" localSheetId="18">'4) Fault Analysis'!$S$157</definedName>
    <definedName name="_50PP1">'4) Fault Analysis'!$S$157</definedName>
    <definedName name="_50Q1P" localSheetId="18">'9) Transfer Trip'!$S$73</definedName>
    <definedName name="_50Q1P">'9) Transfer Trip'!$S$73</definedName>
    <definedName name="_50Q4P" localSheetId="18">'9) Transfer Trip'!$S$76</definedName>
    <definedName name="_50Q4P">'9) Transfer Trip'!$S$76</definedName>
    <definedName name="_50RP1" localSheetId="18">'11) BF Fault Det'!$AA$32</definedName>
    <definedName name="_50RP1">'11) BF Fault Det'!$AA$32</definedName>
    <definedName name="_50RP2" localSheetId="12">'BF Fault Det (2)'!$AA$32</definedName>
    <definedName name="_51GP" localSheetId="18">'8) LOP &amp; Ground TOC'!$S$68</definedName>
    <definedName name="_51GP">'8) LOP &amp; Ground TOC'!$S$68</definedName>
    <definedName name="_51PP" localSheetId="18">'9) Transfer Trip'!$S$58</definedName>
    <definedName name="_51PP">'9) Transfer Trip'!$S$58</definedName>
    <definedName name="_51QP">'8) LOP &amp; Ground TOC'!$S$119</definedName>
    <definedName name="_51S1P" localSheetId="18">'8) LOP &amp; Ground TOC'!$S$69</definedName>
    <definedName name="_51S1P">'8) LOP &amp; Ground TOC'!$S$69</definedName>
    <definedName name="_59BK1P" localSheetId="18">'12) Close &amp; Sync Check'!$K$33</definedName>
    <definedName name="_59BK1P">'12) Close &amp; Sync Check'!$K$33</definedName>
    <definedName name="_59BK2P">'12) Close &amp; Sync Check'!$K$35</definedName>
    <definedName name="_59LP" localSheetId="18">'12) Close &amp; Sync Check'!$K$31</definedName>
    <definedName name="_59LP">'12) Close &amp; Sync Check'!$K$31</definedName>
    <definedName name="_59N1P" localSheetId="18">'9) Transfer Trip'!$S$41</definedName>
    <definedName name="_59N1P">'9) Transfer Trip'!$S$41</definedName>
    <definedName name="_59N2P" localSheetId="18">'6) Zone Imp'!$U$230</definedName>
    <definedName name="_59N2P">'6) Zone Imp'!$U$230</definedName>
    <definedName name="_59P" localSheetId="18">'6) Zone Imp'!$U$229</definedName>
    <definedName name="_59P">'6) Zone Imp'!$U$229</definedName>
    <definedName name="_59SP" localSheetId="18">'12) Close &amp; Sync Check'!$K$46</definedName>
    <definedName name="_59SP">'12) Close &amp; Sync Check'!$K$46</definedName>
    <definedName name="_67G2D" localSheetId="18">'6) Zone Imp'!$U$118</definedName>
    <definedName name="_67G2D">'6) Zone Imp'!$U$118</definedName>
    <definedName name="_67P1TC" localSheetId="18">'[1]8) Voltage Calcs'!$H$42</definedName>
    <definedName name="_67P1TC">'10) SOTF'!$Q$42:$T$43</definedName>
    <definedName name="_87L2P">'4) Fault Analysis'!$S$195</definedName>
    <definedName name="_87LGP">'4) Fault Analysis'!$S$205</definedName>
    <definedName name="_87LGP_311L">'4) Fault Analysis'!$S$204</definedName>
    <definedName name="_87LPP">'4) Fault Analysis'!$S$180</definedName>
    <definedName name="_87LPP_311L">'4) Fault Analysis'!$S$176</definedName>
    <definedName name="_AMV004" localSheetId="18">'12) Close &amp; Sync Check'!$H$48</definedName>
    <definedName name="_AMV004">'12) Close &amp; Sync Check'!$H$48</definedName>
    <definedName name="_ASV041_411L">'7) Relay Calc'!$B$97</definedName>
    <definedName name="_ASV041_421">'7) Relay Calc'!$B$94</definedName>
    <definedName name="_BFPU1" localSheetId="18">'11) BF Fault Det'!$AA$35</definedName>
    <definedName name="_BFPU1">'11) BF Fault Det'!$AA$35</definedName>
    <definedName name="_BFPU2" localSheetId="12">'BF Fault Det (2)'!$AA$35</definedName>
    <definedName name="_Breaker_Rating">'1) Data Entry'!$E$18</definedName>
    <definedName name="_CTR_per_1" localSheetId="18">'4) Fault Analysis'!$G$7</definedName>
    <definedName name="_CTR_per_1">'4) Fault Analysis'!$G$7</definedName>
    <definedName name="_CTRX">'1) Data Entry'!$E$23</definedName>
    <definedName name="_E21XG" localSheetId="18">'7) Relay Calc'!$H$72</definedName>
    <definedName name="_E21XG">'7) Relay Calc'!$H$72</definedName>
    <definedName name="_xlnm._FilterDatabase" localSheetId="0" hidden="1">'1) Data Entry'!$AA$426:$AA$443</definedName>
    <definedName name="_xlnm._FilterDatabase" localSheetId="28" hidden="1">'SDA Translation Table'!$A$1:$Z$156</definedName>
    <definedName name="_k0A1" localSheetId="18">'7) Relay Calc'!$J$37</definedName>
    <definedName name="_k0A1">'7) Relay Calc'!$J$37</definedName>
    <definedName name="_k0M1" localSheetId="18">'7) Relay Calc'!$D$37</definedName>
    <definedName name="_k0M1">'7) Relay Calc'!$D$37</definedName>
    <definedName name="_KS1A">'12) Close &amp; Sync Check'!$K$23</definedName>
    <definedName name="_KS1M" localSheetId="18">'12) Close &amp; Sync Check'!$K$21</definedName>
    <definedName name="_KS1M">'12) Close &amp; Sync Check'!$K$21</definedName>
    <definedName name="_KS2M">'12) Close &amp; Sync Check'!$K$22</definedName>
    <definedName name="_NPU1" localSheetId="18">'11) BF Fault Det'!$AA$35</definedName>
    <definedName name="_NPU1">'11) BF Fault Det'!$AA$35</definedName>
    <definedName name="_NPU2" localSheetId="12">'BF Fault Det (2)'!$AA$35</definedName>
    <definedName name="_OUT105">'12) Close &amp; Sync Check'!$H$43</definedName>
    <definedName name="_PCT01PU">'6) Zone Imp'!$U$117</definedName>
    <definedName name="_PCT14PU">'8) LOP &amp; Ground TOC'!$S$135</definedName>
    <definedName name="_PCT16PU">'8) LOP &amp; Ground TOC'!$S$125</definedName>
    <definedName name="_PMV05">'9) Transfer Trip'!$S$44</definedName>
    <definedName name="_PMV06">'9) Transfer Trip'!$S$33</definedName>
    <definedName name="_PMV10">'6) Zone Imp'!$S$222</definedName>
    <definedName name="_PMV11">'6) Zone Imp'!$S$223</definedName>
    <definedName name="_PMV13">'10) SOTF'!$S$34</definedName>
    <definedName name="_PMV40">'4) Fault Analysis'!$S$247</definedName>
    <definedName name="_PRC023">'1) Data Entry'!$A$38:$D$38</definedName>
    <definedName name="_PSV02">'9) Transfer Trip'!$N$47:$S$49</definedName>
    <definedName name="_PSV05">'6) Zone Imp'!$S$225</definedName>
    <definedName name="_PSV10">'9) Transfer Trip'!$S$21</definedName>
    <definedName name="_PSV58">'4) Fault Analysis'!$S$237</definedName>
    <definedName name="_Remote_BF_CTR">'1) Data Entry'!$E$281</definedName>
    <definedName name="_Remote_CTR" localSheetId="18">'4) Fault Analysis'!$G$219</definedName>
    <definedName name="_Remote_Line_CTR">'1) Data Entry'!$E$282</definedName>
    <definedName name="_RG1">'7) Relay Calc'!$L$78</definedName>
    <definedName name="_RG2">'7) Relay Calc'!$L$79</definedName>
    <definedName name="_RG3">'7) Relay Calc'!$L$80</definedName>
    <definedName name="_SET16">'9) Transfer Trip'!$S$22</definedName>
    <definedName name="_SIR">'4) Fault Analysis'!$S$102</definedName>
    <definedName name="_SV4PU">'11) BF Fault Det'!$AA$35</definedName>
    <definedName name="_SV4PU_2" localSheetId="12">'BF Fault Det (2)'!$AA$35</definedName>
    <definedName name="_SV7PU">'8) LOP &amp; Ground TOC'!$S$124</definedName>
    <definedName name="_SYNC_Ref" localSheetId="18">'1) Data Entry'!$E$270</definedName>
    <definedName name="_SYNC_Ref">'1) Data Entry'!$E$270</definedName>
    <definedName name="_SYNC_Source" localSheetId="18">'1) Data Entry'!$E$271</definedName>
    <definedName name="_SYNC_Source">'1) Data Entry'!$E$271</definedName>
    <definedName name="_SYNCP" localSheetId="18">'12) Close &amp; Sync Check'!$K$26</definedName>
    <definedName name="_SYNCP">'12) Close &amp; Sync Check'!$K$26</definedName>
    <definedName name="_SYNCS2">'12) Close &amp; Sync Check'!$K$28</definedName>
    <definedName name="_VAZR">'1) Data Entry'!$E$274</definedName>
    <definedName name="_VBZR">'1) Data Entry'!$E$275</definedName>
    <definedName name="_VCZR">'1) Data Entry'!$E$276</definedName>
    <definedName name="_VNOMY" localSheetId="18">'12) Close &amp; Sync Check'!$K$16</definedName>
    <definedName name="_VNOMY">'12) Close &amp; Sync Check'!$K$16</definedName>
    <definedName name="_VNOMZ" localSheetId="18">'12) Close &amp; Sync Check'!$K$18</definedName>
    <definedName name="_VNOMZ">'12) Close &amp; Sync Check'!$K$18</definedName>
    <definedName name="_X1">'7) Relay Calc'!$D$78</definedName>
    <definedName name="_X2">'7) Relay Calc'!$D$79</definedName>
    <definedName name="_X3">'7) Relay Calc'!$D$80</definedName>
    <definedName name="_X4">'7) Relay Calc'!$D$81</definedName>
    <definedName name="_X5">'7) Relay Calc'!$D$82</definedName>
    <definedName name="_XR">'4) Fault Analysis'!$S$98</definedName>
    <definedName name="_Z0ANG" localSheetId="18">'7) Relay Calc'!$J$29</definedName>
    <definedName name="_Z0ANG">'7) Relay Calc'!$J$29</definedName>
    <definedName name="_Z0MAG" localSheetId="18">'7) Relay Calc'!$D$29</definedName>
    <definedName name="_Z0MAG">'7) Relay Calc'!$D$29</definedName>
    <definedName name="_Z1ANG" localSheetId="18">'7) Relay Calc'!$J$20</definedName>
    <definedName name="_Z1ANG">'7) Relay Calc'!$J$20</definedName>
    <definedName name="_Z1MAG" localSheetId="18">'7) Relay Calc'!$D$20</definedName>
    <definedName name="_Z1MAG">'7) Relay Calc'!$D$20</definedName>
    <definedName name="_Z1MG" localSheetId="18">'6) Zone Imp'!$S$39</definedName>
    <definedName name="_Z1MG">'6) Zone Imp'!$S$39</definedName>
    <definedName name="_Z1P" localSheetId="18">'6) Zone Imp'!$S$39</definedName>
    <definedName name="_Z1P">'6) Zone Imp'!$S$39</definedName>
    <definedName name="_Z2MG" localSheetId="18">'6) Zone Imp'!$S$89</definedName>
    <definedName name="_Z2MG">'6) Zone Imp'!$S$89</definedName>
    <definedName name="_Z2P" localSheetId="18">'6) Zone Imp'!$S$89</definedName>
    <definedName name="_Z2P">'6) Zone Imp'!$S$89</definedName>
    <definedName name="_Z3MG" localSheetId="18">'6) Zone Imp'!$S$254</definedName>
    <definedName name="_Z3MG">'6) Zone Imp'!$S$254</definedName>
    <definedName name="_Z3P" localSheetId="18">'6) Zone Imp'!$S$254</definedName>
    <definedName name="_Z3P">'6) Zone Imp'!$S$254</definedName>
    <definedName name="_Z4MG" localSheetId="18">'6) Zone Imp'!$S$187</definedName>
    <definedName name="_Z4MG">'6) Zone Imp'!$S$187</definedName>
    <definedName name="_Z4P" localSheetId="18">'6) Zone Imp'!$S$187</definedName>
    <definedName name="_Z4P">'6) Zone Imp'!$S$187</definedName>
    <definedName name="_Z5MG" localSheetId="18">'6) Zone Imp'!$S$140</definedName>
    <definedName name="_Z5MG">'6) Zone Imp'!$S$140</definedName>
    <definedName name="_Z5P" localSheetId="18">'6) Zone Imp'!$S$140</definedName>
    <definedName name="_Z5P">'6) Zone Imp'!$S$140</definedName>
    <definedName name="_ZLF" localSheetId="18">'6) Zone Imp'!$U$162</definedName>
    <definedName name="_ZLF">'6) Zone Imp'!$U$162</definedName>
    <definedName name="_ZLR" localSheetId="18">'6) Zone Imp'!$U$162</definedName>
    <definedName name="_ZLR">'6) Zone Imp'!$U$162</definedName>
    <definedName name="ArcResistance">'4) Fault Analysis'!$S$116</definedName>
    <definedName name="Auto1_R">'1) Data Entry'!$E$193</definedName>
    <definedName name="Auto1_Select1">'1) Data Entry'!$E$192</definedName>
    <definedName name="Auto1_X">'1) Data Entry'!$E$194</definedName>
    <definedName name="Auto2_R">'1) Data Entry'!$E$198</definedName>
    <definedName name="Auto2_Select2">'1) Data Entry'!$E$197</definedName>
    <definedName name="Auto2_X">'1) Data Entry'!$E$199</definedName>
    <definedName name="Auto3_R">'1) Data Entry'!$E$203</definedName>
    <definedName name="Auto3_Select3">'1) Data Entry'!$E$202</definedName>
    <definedName name="Auto3_X">'1) Data Entry'!$E$204</definedName>
    <definedName name="Auto4_R">'1) Data Entry'!$E$208</definedName>
    <definedName name="Auto4_Select4">'1) Data Entry'!$E$207</definedName>
    <definedName name="Auto4_X">'1) Data Entry'!$E$209</definedName>
    <definedName name="Base_Ohms">'1) Data Entry'!$E$17</definedName>
    <definedName name="BIDI1_SEL411L" localSheetId="19">'SEL-411L Relay Settings'!$C$11</definedName>
    <definedName name="BIDI2_SEL411L" localSheetId="19">'SEL-411L Relay Settings'!$C$12</definedName>
    <definedName name="Breaker_Failure_Bus_Arrangement">'11) BF Fault Det'!$V$22</definedName>
    <definedName name="Breaker_Failure_Table1">'11) BF Fault Det'!$V$16:$AA$18</definedName>
    <definedName name="Calc_By" localSheetId="0">'1) Data Entry'!$S$4</definedName>
    <definedName name="Calc_By" localSheetId="7">'6) Zone Imp'!$S$4</definedName>
    <definedName name="Calc_By">'6) Zone Imp'!$S$4</definedName>
    <definedName name="Checked_By" localSheetId="0">'1) Data Entry'!$S$5</definedName>
    <definedName name="Checked_By" localSheetId="7">'6) Zone Imp'!$S$5</definedName>
    <definedName name="Checked_By">'6) Zone Imp'!$S$5</definedName>
    <definedName name="Conductor_Rating_Value">'1) Data Entry'!$E$19</definedName>
    <definedName name="CTR" localSheetId="0">'1) Data Entry'!$E$22</definedName>
    <definedName name="CTR" localSheetId="18">'6) Zone Imp'!$E$9</definedName>
    <definedName name="CTR" localSheetId="7">'6) Zone Imp'!$E$9</definedName>
    <definedName name="CTR">'6) Zone Imp'!$E$9</definedName>
    <definedName name="CTR_PTR" localSheetId="0">'1) Data Entry'!$E$25:$F$25</definedName>
    <definedName name="CTR_PTR" localSheetId="18">'6) Zone Imp'!$E$11</definedName>
    <definedName name="CTR_PTR" localSheetId="7">'6) Zone Imp'!$E$11</definedName>
    <definedName name="CTR_PTR">'6) Zone Imp'!$E$11</definedName>
    <definedName name="CTR_PTR1">'6) Zone Imp'!$E$11</definedName>
    <definedName name="Date" localSheetId="0">'1) Data Entry'!$S$3</definedName>
    <definedName name="Date" localSheetId="7">'6) Zone Imp'!$S$3</definedName>
    <definedName name="Date">'6) Zone Imp'!$S$3</definedName>
    <definedName name="Dist1_R">'1) Data Entry'!$E$221</definedName>
    <definedName name="Dist1_Select1">'1) Data Entry'!$E$220</definedName>
    <definedName name="Dist1_X">'1) Data Entry'!$E$222</definedName>
    <definedName name="Dist2_R">'1) Data Entry'!$E$227</definedName>
    <definedName name="Dist2_Select2">'1) Data Entry'!$E$226</definedName>
    <definedName name="Dist2_X">'1) Data Entry'!$E$228</definedName>
    <definedName name="Dist3_R">'1) Data Entry'!$E$233</definedName>
    <definedName name="Dist3_Select3">'1) Data Entry'!$E$232</definedName>
    <definedName name="Dist3_X">'1) Data Entry'!$E$234</definedName>
    <definedName name="Dist4_R">'1) Data Entry'!$E$239</definedName>
    <definedName name="Dist4_Select4">'1) Data Entry'!$E$238</definedName>
    <definedName name="Dist4_X">'1) Data Entry'!$E$240</definedName>
    <definedName name="Dist5_R">'1) Data Entry'!$E$245</definedName>
    <definedName name="Dist5_Select5">'1) Data Entry'!$E$244</definedName>
    <definedName name="Dist5_X">'1) Data Entry'!$E$246</definedName>
    <definedName name="Dist6_R">'1) Data Entry'!$E$251</definedName>
    <definedName name="Dist6_Select6">'1) Data Entry'!$E$250</definedName>
    <definedName name="Dist6_X">'1) Data Entry'!$E$252</definedName>
    <definedName name="Dist7_R">'1) Data Entry'!$E$257</definedName>
    <definedName name="Dist7_Select7">'1) Data Entry'!$E$256</definedName>
    <definedName name="Dist7_X">'1) Data Entry'!$E$258</definedName>
    <definedName name="Dist8_R">'1) Data Entry'!$E$263</definedName>
    <definedName name="Dist8_Select8">'1) Data Entry'!$E$262</definedName>
    <definedName name="Dist8_X">'1) Data Entry'!$E$264</definedName>
    <definedName name="_xlnm.Extract" localSheetId="0">'1) Data Entry'!$AB$426:$AB$443</definedName>
    <definedName name="Fault_Analysis_Table1">'4) Fault Analysis'!$G$36:$K$39</definedName>
    <definedName name="Fault_Analysis_Table2">'4) Fault Analysis'!$G$17:$G$25</definedName>
    <definedName name="Fault_Analysis_Table3">'4) Fault Analysis'!$I$17:$I$25</definedName>
    <definedName name="Fault_Analysis_Table4">'4) Fault Analysis'!$R$35:$X$39</definedName>
    <definedName name="Fault_Analysis_Table5">'4) Fault Analysis'!$G$243:$K$243</definedName>
    <definedName name="Fault_Analysis_Table6">'4) Fault Analysis'!$E$47:$O$47</definedName>
    <definedName name="Fault_Analysis_Table7">'4) Fault Analysis'!$E$44:$E$45</definedName>
    <definedName name="First_Line_Impedances">'3) Aspen Impedances'!$E$6:$I$10</definedName>
    <definedName name="Infeed_Table1">'5) Infeed'!$R$15:$T$26</definedName>
    <definedName name="Infeed_Table1A">'5) Infeed'!$X$15:$X$26</definedName>
    <definedName name="Infeed_Table2">'5) Infeed'!$R$42:$T$49</definedName>
    <definedName name="Infeed_Table2A">'5) Infeed'!$X$42:$X$49</definedName>
    <definedName name="k">'1) Data Entry'!$E$25</definedName>
    <definedName name="Line_Limit" localSheetId="0">'1) Data Entry'!$E$21</definedName>
    <definedName name="Line_Limit" localSheetId="18">'6) Zone Imp'!$E$8</definedName>
    <definedName name="Line_Limit" localSheetId="7">'6) Zone Imp'!$E$8</definedName>
    <definedName name="Line_Limit">'6) Zone Imp'!$E$8</definedName>
    <definedName name="Line_Number">'1) Data Entry'!$K$3</definedName>
    <definedName name="LoadabilityLimit">'1) Data Entry'!$E$20</definedName>
    <definedName name="mark">'10) SOTF'!$Q$39</definedName>
    <definedName name="NERC_Criteria">'1) Data Entry'!$E$34</definedName>
    <definedName name="Nominal_System_Voltage">'1) Data Entry'!$E$16</definedName>
    <definedName name="Number_of_Autos">'1) Data Entry'!$E$28</definedName>
    <definedName name="Number_of_Dist_Transformers">'1) Data Entry'!$E$30</definedName>
    <definedName name="Number_of_Taps">'1) Data Entry'!$E$27</definedName>
    <definedName name="Number_Second_Lines">'1) Data Entry'!$E$26</definedName>
    <definedName name="NUMBK">'1) Data Entry'!$E$29</definedName>
    <definedName name="PRC_023_3_BIT">'1) Data Entry'!$AB$343</definedName>
    <definedName name="PRC_023_3_criteria_table">'1) Data Entry'!$A$35:$W$40</definedName>
    <definedName name="PRC_023_SUMMARY">'13) NERC PRC Compliance Sheet'!$A$5:$P$19</definedName>
    <definedName name="PRC_025_ASYNC_THRESHOLD">'1) Data Entry'!$AM$364</definedName>
    <definedName name="PRC_025_Asynchronous_BIT">'1) Data Entry'!$AB$345</definedName>
    <definedName name="PRC_025_Asynchronous_Wind_Farms_Solar_Array">'1) Data Entry'!$AA$364:$AA$365</definedName>
    <definedName name="PRC_025_CAL_TABLE">'1) Data Entry'!$AA$362:$AJ$365</definedName>
    <definedName name="PRC_025_criteria_selected">'1) Data Entry'!$A$50</definedName>
    <definedName name="PRC_025_criteria_table">'1) Data Entry'!$A$41:$W$52</definedName>
    <definedName name="PRC_025_MVA">'1) Data Entry'!$E$42</definedName>
    <definedName name="PRC_025_SUMMARY">'13) NERC PRC Compliance Sheet'!$A$20:$P$35</definedName>
    <definedName name="PRC_025_Synchronous">'1) Data Entry'!$AA$361:$AA$363</definedName>
    <definedName name="PRC_025_Synchronous_BIT">'1) Data Entry'!$AB$344</definedName>
    <definedName name="PRC_025_TRANS_ANG">" "</definedName>
    <definedName name="_xlnm.Print_Area" localSheetId="0">'1) Data Entry'!$A$1:$W$276</definedName>
    <definedName name="_xlnm.Print_Area" localSheetId="10">'10) SOTF'!$A$1:$V$60</definedName>
    <definedName name="_xlnm.Print_Area" localSheetId="11">'11) BF Fault Det'!$A$1:$AG$441</definedName>
    <definedName name="_xlnm.Print_Area" localSheetId="13">'12) Close &amp; Sync Check'!$A$1:$P$51</definedName>
    <definedName name="_xlnm.Print_Area" localSheetId="14">'13) NERC PRC Compliance Sheet'!$A$1:$P$51</definedName>
    <definedName name="_xlnm.Print_Area" localSheetId="16">'15) Notes &amp; Additional Calcs'!$A$1:$J$18</definedName>
    <definedName name="_xlnm.Print_Area" localSheetId="24">'16) Export SEL-421-3'!$A$1:$B$231</definedName>
    <definedName name="_xlnm.Print_Area" localSheetId="23">'16) Summary Sheet'!$A$1:$J$86</definedName>
    <definedName name="_xlnm.Print_Area" localSheetId="18">'16) Summary Sheet2'!$A$1:$J$86</definedName>
    <definedName name="_xlnm.Print_Area" localSheetId="26">'18) Export SEL-311C'!$A$1:$B$166</definedName>
    <definedName name="_xlnm.Print_Area" localSheetId="2">'2) Project System'!$A$1:$AC$40</definedName>
    <definedName name="_xlnm.Print_Area" localSheetId="3">'3) Aspen Impedances'!$A$1:$K$210</definedName>
    <definedName name="_xlnm.Print_Area" localSheetId="4">'4) Fault Analysis'!$A$1:$AD$319</definedName>
    <definedName name="_xlnm.Print_Area" localSheetId="5">'5) Infeed'!$A$1:$W$50</definedName>
    <definedName name="_xlnm.Print_Area" localSheetId="6">'6) Zone Imp'!$A$1:$AB$256</definedName>
    <definedName name="_xlnm.Print_Area" localSheetId="7">'7) Relay Calc'!$A$1:$Z$103</definedName>
    <definedName name="_xlnm.Print_Area" localSheetId="8">'8) LOP &amp; Ground TOC'!$A$1:$V$143</definedName>
    <definedName name="_xlnm.Print_Area" localSheetId="9">'9) Transfer Trip'!$A$1:$V$78</definedName>
    <definedName name="_xlnm.Print_Area" localSheetId="12">'BF Fault Det (2)'!$A$1:$AG$441</definedName>
    <definedName name="_xlnm.Print_Area" localSheetId="1">'PRC-025 Generator Data Sheet'!$A$1:$K$21</definedName>
    <definedName name="PTR" localSheetId="0">'1) Data Entry'!$E$24</definedName>
    <definedName name="PTR" localSheetId="18">'6) Zone Imp'!$E$10</definedName>
    <definedName name="PTR" localSheetId="7">'6) Zone Imp'!$E$10</definedName>
    <definedName name="PTR">'6) Zone Imp'!$E$10</definedName>
    <definedName name="R_Pos" localSheetId="0">'1) Data Entry'!$I$136</definedName>
    <definedName name="R_Pos" localSheetId="18">'6) Zone Imp'!$I$10</definedName>
    <definedName name="R_Pos" localSheetId="7">'6) Zone Imp'!$I$10</definedName>
    <definedName name="R_Pos">'6) Zone Imp'!$I$10</definedName>
    <definedName name="R_Zero" localSheetId="0">'6) Zone Imp'!$I$13</definedName>
    <definedName name="R_Zero" localSheetId="18">'6) Zone Imp'!$I$13</definedName>
    <definedName name="R_Zero" localSheetId="7">'6) Zone Imp'!$I$13</definedName>
    <definedName name="R_Zero">'6) Zone Imp'!$I$13</definedName>
    <definedName name="Relay_Location" localSheetId="0">'1) Data Entry'!$G$3</definedName>
    <definedName name="Relay_Location" localSheetId="18">'6) Zone Imp'!$G$3</definedName>
    <definedName name="Relay_Location" localSheetId="7">'6) Zone Imp'!$G$3</definedName>
    <definedName name="Relay_Location">'6) Zone Imp'!$G$3</definedName>
    <definedName name="Remote_Bus1">'3) Aspen Impedances'!$E$15:$I$19</definedName>
    <definedName name="Remote_Bus1_Name">'3) Aspen Impedances'!$D$20</definedName>
    <definedName name="Remote_Bus2">'3) Aspen Impedances'!$E$23:$I$27</definedName>
    <definedName name="Remote_Bus2_Name">'3) Aspen Impedances'!$D$28</definedName>
    <definedName name="Remote_Bus3">'3) Aspen Impedances'!$E$31:$I$35</definedName>
    <definedName name="Remote_Bus3_Name">'3) Aspen Impedances'!$D$36</definedName>
    <definedName name="Remote_Bus4">'3) Aspen Impedances'!$E$39:$I$43</definedName>
    <definedName name="Remote_Bus4_Name">'3) Aspen Impedances'!$D$44</definedName>
    <definedName name="Remote_Bus5">'3) Aspen Impedances'!$E$47:$I$51</definedName>
    <definedName name="Remote_Bus5_Name">'3) Aspen Impedances'!$D$52</definedName>
    <definedName name="Remote_Bus6">'3) Aspen Impedances'!$E$55:$I$59</definedName>
    <definedName name="Remote_Bus6_Name">'3) Aspen Impedances'!$D$60</definedName>
    <definedName name="Remote_Bus7">'3) Aspen Impedances'!$E$63:$I$67</definedName>
    <definedName name="Remote_Bus7_Name">'3) Aspen Impedances'!$D$68</definedName>
    <definedName name="Remote_Bus8">'3) Aspen Impedances'!$E$71:$I$75</definedName>
    <definedName name="Remote_Bus8_Name">'3) Aspen Impedances'!$D$76</definedName>
    <definedName name="Remote_CTR_87L">'4) Fault Analysis'!$K$176</definedName>
    <definedName name="Remote_Location" localSheetId="0">'1) Data Entry'!$M$3</definedName>
    <definedName name="Remote_Location" localSheetId="18">'6) Zone Imp'!$M$3</definedName>
    <definedName name="Remote_Location" localSheetId="7">'6) Zone Imp'!$M$3</definedName>
    <definedName name="Remote_Location">'6) Zone Imp'!$M$3</definedName>
    <definedName name="Report_Transformers_Table">'1) Data Entry'!$AM$473:$AN$480</definedName>
    <definedName name="SIR">'4) Fault Analysis'!$S$102</definedName>
    <definedName name="Start_Here">'1) Data Entry'!$A$38</definedName>
    <definedName name="Tap_FLine1">'3) Aspen Impedances'!$E$147:$I$151</definedName>
    <definedName name="Tap_FLine2">'3) Aspen Impedances'!$E$155:$I$159</definedName>
    <definedName name="Tap_FLine3">'3) Aspen Impedances'!$E$163:$I$167</definedName>
    <definedName name="Tap_FLine4">'3) Aspen Impedances'!$E$171:$I$175</definedName>
    <definedName name="Tap_FLine5">'3) Aspen Impedances'!$E$179:$I$183</definedName>
    <definedName name="Tap_FLine6">'3) Aspen Impedances'!$E$187:$I$191</definedName>
    <definedName name="Tap_FLine7">'3) Aspen Impedances'!$E$195:$I$199</definedName>
    <definedName name="Tap_FLine8">'3) Aspen Impedances'!$E$203:$I$207</definedName>
    <definedName name="Tap_Line1">'3) Aspen Impedances'!$E$81:$I$85</definedName>
    <definedName name="Tap_Line1_Name">'3) Aspen Impedances'!$D$86</definedName>
    <definedName name="Tap_Line2">'3) Aspen Impedances'!$E$89:$I$93</definedName>
    <definedName name="Tap_Line2_Name">'3) Aspen Impedances'!$D$94</definedName>
    <definedName name="Tap_Line3">'3) Aspen Impedances'!$E$97:$I$101</definedName>
    <definedName name="Tap_Line3_Name">'3) Aspen Impedances'!$D$102</definedName>
    <definedName name="Tap_Line4">'3) Aspen Impedances'!$E$105:$I$109</definedName>
    <definedName name="Tap_Line4_Name">'3) Aspen Impedances'!$D$110</definedName>
    <definedName name="Tap_Line5">'3) Aspen Impedances'!$E$113:$I$117</definedName>
    <definedName name="Tap_Line5_Name">'3) Aspen Impedances'!$D$118</definedName>
    <definedName name="Tap_Line6">'3) Aspen Impedances'!$E$121:$I$125</definedName>
    <definedName name="Tap_Line6_Name">'3) Aspen Impedances'!$D$126</definedName>
    <definedName name="Tap_Line7">'3) Aspen Impedances'!$E$129:$I$133</definedName>
    <definedName name="Tap_Line7_Name">'3) Aspen Impedances'!$D$134</definedName>
    <definedName name="Tap_Line8">'3) Aspen Impedances'!$E$137:$I$141</definedName>
    <definedName name="Tap_Line8_Name">'3) Aspen Impedances'!$D$142</definedName>
    <definedName name="Test" localSheetId="0">'1) Data Entry'!$AA$348:$AA$359</definedName>
    <definedName name="Test">'1) Data Entry'!$A$38</definedName>
    <definedName name="Transformer1_Select">'1) Data Entry'!$E$220:$F$222</definedName>
    <definedName name="Transformer2_Select">'1) Data Entry'!$E$226:$F$228</definedName>
    <definedName name="Transformer3_Select">'1) Data Entry'!$E$232:$F$234</definedName>
    <definedName name="Transformer4_Select">'1) Data Entry'!$E$238:$F$240</definedName>
    <definedName name="Voltage" localSheetId="7">'1) Data Entry'!$E$16:$F$16</definedName>
    <definedName name="X_Pos" localSheetId="0">'1) Data Entry'!$K$136</definedName>
    <definedName name="X_Pos" localSheetId="18">'6) Zone Imp'!$K$10</definedName>
    <definedName name="X_Pos" localSheetId="7">'6) Zone Imp'!$K$10</definedName>
    <definedName name="X_Pos">'6) Zone Imp'!$K$10</definedName>
    <definedName name="X_Zero" localSheetId="0">'6) Zone Imp'!$K$13</definedName>
    <definedName name="X_Zero" localSheetId="18">'6) Zone Imp'!$K$13</definedName>
    <definedName name="X_Zero" localSheetId="7">'6) Zone Imp'!$K$13</definedName>
    <definedName name="X_Zero">'6) Zone Imp'!$K$13</definedName>
    <definedName name="XR">'4) Fault Analysis'!$S$98</definedName>
    <definedName name="Z_CE7C9437_2027_4BB7_AF3A_E90311791C90_.wvu.PrintArea" localSheetId="12" hidden="1">'BF Fault Det (2)'!$A$1:$AH$39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1" i="1" l="1"/>
  <c r="G27" i="3"/>
  <c r="K176" i="3"/>
  <c r="G30" i="3"/>
  <c r="G28" i="3"/>
  <c r="G31" i="3"/>
  <c r="E11" i="10"/>
  <c r="E55" i="1" s="1"/>
  <c r="F11" i="10"/>
  <c r="G11" i="10"/>
  <c r="H11" i="10"/>
  <c r="I11" i="10"/>
  <c r="AM455" i="1"/>
  <c r="AM456" i="1"/>
  <c r="AM457" i="1"/>
  <c r="AM458" i="1"/>
  <c r="AM459" i="1"/>
  <c r="AM460" i="1"/>
  <c r="AM461" i="1"/>
  <c r="AM462" i="1"/>
  <c r="AM463" i="1"/>
  <c r="AM464" i="1"/>
  <c r="AM465" i="1"/>
  <c r="AM466" i="1"/>
  <c r="AM467" i="1"/>
  <c r="AM468" i="1"/>
  <c r="AM469" i="1"/>
  <c r="AM470" i="1"/>
  <c r="AM473" i="1" a="1"/>
  <c r="AM473" i="1"/>
  <c r="AN455" i="1"/>
  <c r="AN456" i="1"/>
  <c r="AN457" i="1"/>
  <c r="AN458" i="1"/>
  <c r="AN459" i="1"/>
  <c r="AN460" i="1"/>
  <c r="AN461" i="1"/>
  <c r="AN462" i="1"/>
  <c r="AN463" i="1"/>
  <c r="AN464" i="1"/>
  <c r="AN465" i="1"/>
  <c r="AN466" i="1"/>
  <c r="AN467" i="1"/>
  <c r="AN468" i="1"/>
  <c r="AN469" i="1"/>
  <c r="AN470" i="1"/>
  <c r="AN473" i="1" a="1"/>
  <c r="AN473" i="1"/>
  <c r="AH334" i="1"/>
  <c r="AI314" i="1"/>
  <c r="AA313" i="1"/>
  <c r="AA314" i="1" s="1"/>
  <c r="AI315" i="1"/>
  <c r="E120" i="1"/>
  <c r="Q120" i="1" s="1"/>
  <c r="E121" i="1"/>
  <c r="AI324" i="1" s="1"/>
  <c r="E128" i="1"/>
  <c r="AI317" i="1" s="1"/>
  <c r="E136" i="1"/>
  <c r="B168" i="10" s="1"/>
  <c r="E144" i="1"/>
  <c r="Q145" i="1" s="1"/>
  <c r="E152" i="1"/>
  <c r="B184" i="10" s="1"/>
  <c r="AB313" i="1"/>
  <c r="AB314" i="1" s="1"/>
  <c r="AC313" i="1"/>
  <c r="AD313" i="1"/>
  <c r="AE313" i="1"/>
  <c r="AE315" i="1" s="1"/>
  <c r="AF313" i="1"/>
  <c r="AF314" i="1" s="1"/>
  <c r="AG313" i="1"/>
  <c r="AG314" i="1" s="1"/>
  <c r="AH313" i="1"/>
  <c r="AH315" i="1" s="1"/>
  <c r="E160" i="1"/>
  <c r="AI321" i="1" s="1"/>
  <c r="E168" i="1"/>
  <c r="Q169" i="1" s="1"/>
  <c r="E176" i="1"/>
  <c r="AI323" i="1" s="1"/>
  <c r="E129" i="1"/>
  <c r="AI325" i="1" s="1"/>
  <c r="E94" i="10"/>
  <c r="AL325" i="1" s="1"/>
  <c r="F94" i="10"/>
  <c r="AM325" i="1" s="1"/>
  <c r="E160" i="10"/>
  <c r="AJ325" i="1" s="1"/>
  <c r="F160" i="10"/>
  <c r="AE386" i="1" s="1"/>
  <c r="E137" i="1"/>
  <c r="AI326" i="1" s="1"/>
  <c r="E102" i="10"/>
  <c r="AL326" i="1" s="1"/>
  <c r="F102" i="10"/>
  <c r="AM326" i="1" s="1"/>
  <c r="E168" i="10"/>
  <c r="AJ326" i="1" s="1"/>
  <c r="F168" i="10"/>
  <c r="AK326" i="1" s="1"/>
  <c r="E145" i="1"/>
  <c r="B110" i="10" s="1"/>
  <c r="E110" i="10"/>
  <c r="AL327" i="1" s="1"/>
  <c r="F110" i="10"/>
  <c r="AM327" i="1" s="1"/>
  <c r="E176" i="10"/>
  <c r="AJ327" i="1" s="1"/>
  <c r="F176" i="10"/>
  <c r="AK327" i="1" s="1"/>
  <c r="E153" i="1"/>
  <c r="AI328" i="1" s="1"/>
  <c r="E118" i="10"/>
  <c r="AL328" i="1" s="1"/>
  <c r="F118" i="10"/>
  <c r="AM328" i="1" s="1"/>
  <c r="E184" i="10"/>
  <c r="AD389" i="1" s="1"/>
  <c r="F184" i="10"/>
  <c r="AK328" i="1" s="1"/>
  <c r="E161" i="1"/>
  <c r="AI329" i="1" s="1"/>
  <c r="E126" i="10"/>
  <c r="AL329" i="1" s="1"/>
  <c r="F126" i="10"/>
  <c r="AM329" i="1" s="1"/>
  <c r="E192" i="10"/>
  <c r="AJ329" i="1" s="1"/>
  <c r="F192" i="10"/>
  <c r="AE390" i="1" s="1"/>
  <c r="E169" i="1"/>
  <c r="P48" i="4" s="1"/>
  <c r="E134" i="10"/>
  <c r="AL330" i="1" s="1"/>
  <c r="F134" i="10"/>
  <c r="AM330" i="1" s="1"/>
  <c r="E200" i="10"/>
  <c r="AJ330" i="1" s="1"/>
  <c r="F200" i="10"/>
  <c r="AK330" i="1"/>
  <c r="E177" i="1"/>
  <c r="Q176" i="1" s="1"/>
  <c r="E142" i="10"/>
  <c r="AL331" i="1" s="1"/>
  <c r="F142" i="10"/>
  <c r="AM331" i="1" s="1"/>
  <c r="E208" i="10"/>
  <c r="AJ331" i="1" s="1"/>
  <c r="F208" i="10"/>
  <c r="AE392" i="1" s="1"/>
  <c r="N218" i="1"/>
  <c r="AF334" i="1" s="1"/>
  <c r="N219" i="1"/>
  <c r="AG334" i="1" s="1"/>
  <c r="J218" i="1"/>
  <c r="AD334" i="1" s="1"/>
  <c r="J219" i="1"/>
  <c r="AE334" i="1" s="1"/>
  <c r="M222" i="1"/>
  <c r="AC334" i="1" s="1"/>
  <c r="N224" i="1"/>
  <c r="AF335" i="1" s="1"/>
  <c r="N225" i="1"/>
  <c r="AG335" i="1" s="1"/>
  <c r="J224" i="1"/>
  <c r="AD335" i="1" s="1"/>
  <c r="J225" i="1"/>
  <c r="AE335" i="1" s="1"/>
  <c r="M228" i="1"/>
  <c r="AC335" i="1" s="1"/>
  <c r="N230" i="1"/>
  <c r="AF336" i="1" s="1"/>
  <c r="E56" i="1"/>
  <c r="AK315" i="1"/>
  <c r="AO315" i="1"/>
  <c r="N231" i="1"/>
  <c r="AG336" i="1" s="1"/>
  <c r="J230" i="1"/>
  <c r="AD336" i="1" s="1"/>
  <c r="J231" i="1"/>
  <c r="AE336" i="1" s="1"/>
  <c r="M234" i="1"/>
  <c r="AC336" i="1" s="1"/>
  <c r="AD314" i="1"/>
  <c r="N236" i="1"/>
  <c r="AF337" i="1" s="1"/>
  <c r="N237" i="1"/>
  <c r="AG337" i="1" s="1"/>
  <c r="J236" i="1"/>
  <c r="AD337" i="1" s="1"/>
  <c r="J237" i="1"/>
  <c r="AE337" i="1" s="1"/>
  <c r="M240" i="1"/>
  <c r="AC337" i="1" s="1"/>
  <c r="M246" i="1"/>
  <c r="AC338" i="1" s="1"/>
  <c r="M252" i="1"/>
  <c r="AC339" i="1" s="1"/>
  <c r="M258" i="1"/>
  <c r="AC340" i="1" s="1"/>
  <c r="M264" i="1"/>
  <c r="AC341" i="1" s="1"/>
  <c r="AH336" i="1"/>
  <c r="M35" i="5"/>
  <c r="M33" i="5"/>
  <c r="A2" i="37"/>
  <c r="A3" i="37"/>
  <c r="A4" i="37"/>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81" i="37"/>
  <c r="A82" i="37"/>
  <c r="A83" i="37"/>
  <c r="A84" i="37"/>
  <c r="A85" i="37"/>
  <c r="A86" i="37"/>
  <c r="A87" i="37"/>
  <c r="A88" i="37"/>
  <c r="A89" i="37"/>
  <c r="A90" i="37"/>
  <c r="A91" i="37"/>
  <c r="A92" i="37"/>
  <c r="A93" i="37"/>
  <c r="A94" i="37"/>
  <c r="A95" i="37"/>
  <c r="A96" i="37"/>
  <c r="A97" i="37"/>
  <c r="A98" i="37"/>
  <c r="A99" i="37"/>
  <c r="A100" i="37"/>
  <c r="A101" i="37"/>
  <c r="A102" i="37"/>
  <c r="A103" i="37"/>
  <c r="A104" i="37"/>
  <c r="A105" i="37"/>
  <c r="A106" i="37"/>
  <c r="A107" i="37"/>
  <c r="A108" i="37"/>
  <c r="A109" i="37"/>
  <c r="A110" i="37"/>
  <c r="A111" i="37"/>
  <c r="A112" i="37"/>
  <c r="A113" i="37"/>
  <c r="A114" i="37"/>
  <c r="A115" i="37"/>
  <c r="A116" i="37"/>
  <c r="A117" i="37"/>
  <c r="A118" i="37"/>
  <c r="A119" i="37"/>
  <c r="A120" i="37"/>
  <c r="A121" i="37"/>
  <c r="A122" i="37"/>
  <c r="A123" i="37"/>
  <c r="A124" i="37"/>
  <c r="A125" i="37"/>
  <c r="A126" i="37"/>
  <c r="A127" i="37"/>
  <c r="A128" i="37"/>
  <c r="A129" i="37"/>
  <c r="A130" i="37"/>
  <c r="A131" i="37"/>
  <c r="A132" i="37"/>
  <c r="A133" i="37"/>
  <c r="A134" i="37"/>
  <c r="A135" i="37"/>
  <c r="A136" i="37"/>
  <c r="A137" i="37"/>
  <c r="A138" i="37"/>
  <c r="A139" i="37"/>
  <c r="A140" i="37"/>
  <c r="A141" i="37"/>
  <c r="A142" i="37"/>
  <c r="A143" i="37"/>
  <c r="A144" i="37"/>
  <c r="A145" i="37"/>
  <c r="A146" i="37"/>
  <c r="A147" i="37"/>
  <c r="A148" i="37"/>
  <c r="A149" i="37"/>
  <c r="A150" i="37"/>
  <c r="A151" i="37"/>
  <c r="A152" i="37"/>
  <c r="A153" i="37"/>
  <c r="A154" i="37"/>
  <c r="A155" i="37"/>
  <c r="A156" i="37"/>
  <c r="A157" i="37"/>
  <c r="A158" i="37"/>
  <c r="A159" i="37"/>
  <c r="A160" i="37"/>
  <c r="A161" i="37"/>
  <c r="A162" i="37"/>
  <c r="A163" i="37"/>
  <c r="A164" i="37"/>
  <c r="A165" i="37"/>
  <c r="A166" i="37"/>
  <c r="A167" i="37"/>
  <c r="A168" i="37"/>
  <c r="A169" i="37"/>
  <c r="A170" i="37"/>
  <c r="A171" i="37"/>
  <c r="A172" i="37"/>
  <c r="A173" i="37"/>
  <c r="A174" i="37"/>
  <c r="A175" i="37"/>
  <c r="A176" i="37"/>
  <c r="A177" i="37"/>
  <c r="A178" i="37"/>
  <c r="A179" i="37"/>
  <c r="A180" i="37"/>
  <c r="A181" i="37"/>
  <c r="A182" i="37"/>
  <c r="A183" i="37"/>
  <c r="A184" i="37"/>
  <c r="A185" i="37"/>
  <c r="A186" i="37"/>
  <c r="A187" i="37"/>
  <c r="A188" i="37"/>
  <c r="A189" i="37"/>
  <c r="A190" i="37"/>
  <c r="A191" i="37"/>
  <c r="A192" i="37"/>
  <c r="A193" i="37"/>
  <c r="A194" i="37"/>
  <c r="A195" i="37"/>
  <c r="A196" i="37"/>
  <c r="A197" i="37"/>
  <c r="A198" i="37"/>
  <c r="A199" i="37"/>
  <c r="A200" i="37"/>
  <c r="A201" i="37"/>
  <c r="A202" i="37"/>
  <c r="A203" i="37"/>
  <c r="A204" i="37"/>
  <c r="A205" i="37"/>
  <c r="A206" i="37"/>
  <c r="A207" i="37"/>
  <c r="A208" i="37"/>
  <c r="A209" i="37"/>
  <c r="A210" i="37"/>
  <c r="A211" i="37"/>
  <c r="A212" i="37"/>
  <c r="A213" i="37"/>
  <c r="A214" i="37"/>
  <c r="A215" i="37"/>
  <c r="A216" i="37"/>
  <c r="A217" i="37"/>
  <c r="A218" i="37"/>
  <c r="A219" i="37"/>
  <c r="A220" i="37"/>
  <c r="A221" i="37"/>
  <c r="A222" i="37"/>
  <c r="A223" i="37"/>
  <c r="A224" i="37"/>
  <c r="A225" i="37"/>
  <c r="A226" i="37"/>
  <c r="A227" i="37"/>
  <c r="A228" i="37"/>
  <c r="A229" i="37"/>
  <c r="A230" i="37"/>
  <c r="A231" i="37"/>
  <c r="A232" i="37"/>
  <c r="A233" i="37"/>
  <c r="A234" i="37"/>
  <c r="A235" i="37"/>
  <c r="A236" i="37"/>
  <c r="A237" i="37"/>
  <c r="A238" i="37"/>
  <c r="A239" i="37"/>
  <c r="A240" i="37"/>
  <c r="A241" i="37"/>
  <c r="A242" i="37"/>
  <c r="A243" i="37"/>
  <c r="A244" i="37"/>
  <c r="A245" i="37"/>
  <c r="A246" i="37"/>
  <c r="A247" i="37"/>
  <c r="A248" i="37"/>
  <c r="A249" i="37"/>
  <c r="A250" i="37"/>
  <c r="A251" i="37"/>
  <c r="A252" i="37"/>
  <c r="A253" i="37"/>
  <c r="A254" i="37"/>
  <c r="A255" i="37"/>
  <c r="A256" i="37"/>
  <c r="A257" i="37"/>
  <c r="A258" i="37"/>
  <c r="A259" i="37"/>
  <c r="A260" i="37"/>
  <c r="A261" i="37"/>
  <c r="A262" i="37"/>
  <c r="A263" i="37"/>
  <c r="A264" i="37"/>
  <c r="A265" i="37"/>
  <c r="A266" i="37"/>
  <c r="A267" i="37"/>
  <c r="A268" i="37"/>
  <c r="A269" i="37"/>
  <c r="A270" i="37"/>
  <c r="A271" i="37"/>
  <c r="A272" i="37"/>
  <c r="A273" i="37"/>
  <c r="A274" i="37"/>
  <c r="A275" i="37"/>
  <c r="A276" i="37"/>
  <c r="A277" i="37"/>
  <c r="A278" i="37"/>
  <c r="A279" i="37"/>
  <c r="A280" i="37"/>
  <c r="A281" i="37"/>
  <c r="A282" i="37"/>
  <c r="A283" i="37"/>
  <c r="A284" i="37"/>
  <c r="A285" i="37"/>
  <c r="A286" i="37"/>
  <c r="A287" i="37"/>
  <c r="A288" i="37"/>
  <c r="A289" i="37"/>
  <c r="A290" i="37"/>
  <c r="A291" i="37"/>
  <c r="A292" i="37"/>
  <c r="A293" i="37"/>
  <c r="A294" i="37"/>
  <c r="A295" i="37"/>
  <c r="A296" i="37"/>
  <c r="A297" i="37"/>
  <c r="A298" i="37"/>
  <c r="A299" i="37"/>
  <c r="A300" i="37"/>
  <c r="A301" i="37"/>
  <c r="A302" i="37"/>
  <c r="A303" i="37"/>
  <c r="A304" i="37"/>
  <c r="A305" i="37"/>
  <c r="A306" i="37"/>
  <c r="A307" i="37"/>
  <c r="A308" i="37"/>
  <c r="A309" i="37"/>
  <c r="A310" i="37"/>
  <c r="A311" i="37"/>
  <c r="A312" i="37"/>
  <c r="A313" i="37"/>
  <c r="A314" i="37"/>
  <c r="A315" i="37"/>
  <c r="A316" i="37"/>
  <c r="A317" i="37"/>
  <c r="A318" i="37"/>
  <c r="A319" i="37"/>
  <c r="A320" i="37"/>
  <c r="A321" i="37"/>
  <c r="A322" i="37"/>
  <c r="A323" i="37"/>
  <c r="A324" i="37"/>
  <c r="A325" i="37"/>
  <c r="A326" i="37"/>
  <c r="A327" i="37"/>
  <c r="A328" i="37"/>
  <c r="A329" i="37"/>
  <c r="A330" i="37"/>
  <c r="A331" i="37"/>
  <c r="A332" i="37"/>
  <c r="A333" i="37"/>
  <c r="A334" i="37"/>
  <c r="A335" i="37"/>
  <c r="A336" i="37"/>
  <c r="A337" i="37"/>
  <c r="A338" i="37"/>
  <c r="A339" i="37"/>
  <c r="A340" i="37"/>
  <c r="A341" i="37"/>
  <c r="O151" i="5"/>
  <c r="AL4" i="38"/>
  <c r="AL5" i="38"/>
  <c r="AL6" i="38"/>
  <c r="AL7" i="38"/>
  <c r="AL8" i="38"/>
  <c r="AL9" i="38"/>
  <c r="AL10" i="38"/>
  <c r="AL11" i="38"/>
  <c r="AL12" i="38"/>
  <c r="AL13" i="38"/>
  <c r="AL14" i="38"/>
  <c r="AL15" i="38"/>
  <c r="AL16" i="38"/>
  <c r="AL17" i="38"/>
  <c r="AL18" i="38"/>
  <c r="AL19" i="38"/>
  <c r="AL20" i="38"/>
  <c r="AL21" i="38"/>
  <c r="AL22" i="38"/>
  <c r="AL23" i="38"/>
  <c r="AL24" i="38"/>
  <c r="AL25" i="38"/>
  <c r="AL26" i="38"/>
  <c r="AL27" i="38"/>
  <c r="AL28" i="38"/>
  <c r="AL29" i="38"/>
  <c r="AL30" i="38"/>
  <c r="AL31" i="38"/>
  <c r="AL32" i="38"/>
  <c r="AL33" i="38"/>
  <c r="AP25" i="38"/>
  <c r="AQ25" i="38"/>
  <c r="AR25" i="38"/>
  <c r="AS25" i="38"/>
  <c r="AT25" i="38"/>
  <c r="AU25" i="38"/>
  <c r="AV25" i="38"/>
  <c r="AW25" i="38"/>
  <c r="AX25" i="38"/>
  <c r="AY25" i="38"/>
  <c r="AO26" i="38"/>
  <c r="AU26" i="38"/>
  <c r="AL35" i="38"/>
  <c r="AL36" i="38"/>
  <c r="AL37" i="38"/>
  <c r="AL38" i="38"/>
  <c r="AL39" i="38"/>
  <c r="AL40" i="38"/>
  <c r="AL41" i="38"/>
  <c r="AL42" i="38"/>
  <c r="AL43" i="38"/>
  <c r="AL44" i="38"/>
  <c r="AL46" i="38"/>
  <c r="AL47" i="38"/>
  <c r="AL48" i="38"/>
  <c r="AL49" i="38"/>
  <c r="AL77" i="38"/>
  <c r="AL78" i="38"/>
  <c r="AL79" i="38"/>
  <c r="AL80" i="38"/>
  <c r="AL81" i="38"/>
  <c r="AL82" i="38"/>
  <c r="AX26" i="38"/>
  <c r="AV26" i="38"/>
  <c r="AT26" i="38"/>
  <c r="AS26" i="38"/>
  <c r="AR26" i="38"/>
  <c r="AO27" i="38"/>
  <c r="AQ26" i="38"/>
  <c r="AY26" i="38"/>
  <c r="AP26" i="38"/>
  <c r="AW26" i="38"/>
  <c r="AL83" i="38"/>
  <c r="AL50" i="38"/>
  <c r="AU27" i="38"/>
  <c r="AT27" i="38"/>
  <c r="AV27" i="38"/>
  <c r="AW27" i="38"/>
  <c r="AX27" i="38"/>
  <c r="AP27" i="38"/>
  <c r="AY27" i="38"/>
  <c r="AQ27" i="38"/>
  <c r="AS27" i="38"/>
  <c r="AO28" i="38"/>
  <c r="AR27" i="38"/>
  <c r="AL51" i="38"/>
  <c r="AL84" i="38"/>
  <c r="AU28" i="38"/>
  <c r="AR28" i="38"/>
  <c r="AS28" i="38"/>
  <c r="AP28" i="38"/>
  <c r="AT28" i="38"/>
  <c r="AV28" i="38"/>
  <c r="AW28" i="38"/>
  <c r="AQ28" i="38"/>
  <c r="AO29" i="38"/>
  <c r="AX28" i="38"/>
  <c r="AY28" i="38"/>
  <c r="AL85" i="38"/>
  <c r="AL52" i="38"/>
  <c r="E219" i="5"/>
  <c r="O134" i="5"/>
  <c r="G79" i="5"/>
  <c r="K66" i="5"/>
  <c r="O104" i="5"/>
  <c r="E217" i="5"/>
  <c r="O125" i="5"/>
  <c r="E55" i="5"/>
  <c r="O114" i="5"/>
  <c r="O136" i="5"/>
  <c r="E215" i="5"/>
  <c r="O123" i="5"/>
  <c r="E53" i="5"/>
  <c r="O177" i="5"/>
  <c r="K64" i="5"/>
  <c r="G81" i="5"/>
  <c r="O175" i="5"/>
  <c r="O112" i="5"/>
  <c r="O149" i="5"/>
  <c r="O106" i="5"/>
  <c r="C45" i="38"/>
  <c r="C44" i="38"/>
  <c r="C43" i="38"/>
  <c r="C42" i="38"/>
  <c r="C33" i="38"/>
  <c r="C28" i="38"/>
  <c r="C24" i="38"/>
  <c r="C20" i="38"/>
  <c r="D32" i="38"/>
  <c r="D27" i="38"/>
  <c r="D23" i="38"/>
  <c r="D19" i="38"/>
  <c r="AP19" i="38"/>
  <c r="D28" i="38"/>
  <c r="C41" i="38"/>
  <c r="C40" i="38"/>
  <c r="C32" i="38"/>
  <c r="C27" i="38"/>
  <c r="C23" i="38"/>
  <c r="C19" i="38"/>
  <c r="AO19" i="38"/>
  <c r="C31" i="38"/>
  <c r="D26" i="38"/>
  <c r="D22" i="38"/>
  <c r="D7" i="38"/>
  <c r="D30" i="38"/>
  <c r="C26" i="38"/>
  <c r="C22" i="38"/>
  <c r="C7" i="38"/>
  <c r="C35" i="38"/>
  <c r="C30" i="38"/>
  <c r="D25" i="38"/>
  <c r="D21" i="38"/>
  <c r="D34" i="38"/>
  <c r="C25" i="38"/>
  <c r="C21" i="38"/>
  <c r="C34" i="38"/>
  <c r="D20" i="38"/>
  <c r="C39" i="38"/>
  <c r="C29" i="38"/>
  <c r="D24" i="38"/>
  <c r="C38" i="38"/>
  <c r="AR29" i="38"/>
  <c r="AQ29" i="38"/>
  <c r="AS29" i="38"/>
  <c r="AW29" i="38"/>
  <c r="AY29" i="38"/>
  <c r="AO30" i="38"/>
  <c r="AX29" i="38"/>
  <c r="AV29" i="38"/>
  <c r="AU29" i="38"/>
  <c r="AP29" i="38"/>
  <c r="AT29" i="38"/>
  <c r="AL53" i="38"/>
  <c r="AL86" i="38"/>
  <c r="AK85" i="38"/>
  <c r="AO20" i="38"/>
  <c r="AJ52" i="38"/>
  <c r="AK52" i="38"/>
  <c r="AQ30" i="38"/>
  <c r="AY30" i="38"/>
  <c r="AS30" i="38"/>
  <c r="AW30" i="38"/>
  <c r="AP30" i="38"/>
  <c r="AR30" i="38"/>
  <c r="AX30" i="38"/>
  <c r="AT30" i="38"/>
  <c r="AV30" i="38"/>
  <c r="AO31" i="38"/>
  <c r="AU30" i="38"/>
  <c r="AK8" i="38"/>
  <c r="AK33" i="38"/>
  <c r="AO4" i="38"/>
  <c r="AP4" i="38"/>
  <c r="AJ23" i="38"/>
  <c r="AK15" i="38"/>
  <c r="AK30" i="38"/>
  <c r="AK28" i="38"/>
  <c r="AK18" i="38"/>
  <c r="AK31" i="38"/>
  <c r="AK21" i="38"/>
  <c r="AJ3" i="38"/>
  <c r="AJ87" i="38"/>
  <c r="AJ9" i="38"/>
  <c r="AJ16" i="38"/>
  <c r="AJ6" i="38"/>
  <c r="AK6" i="38"/>
  <c r="AJ29" i="38"/>
  <c r="AK17" i="38"/>
  <c r="AP3" i="38"/>
  <c r="AK13" i="38"/>
  <c r="AK22" i="38"/>
  <c r="AK4" i="38"/>
  <c r="AJ33" i="38"/>
  <c r="AK14" i="38"/>
  <c r="AJ10" i="38"/>
  <c r="AK12" i="38"/>
  <c r="AK23" i="38"/>
  <c r="AJ22" i="38"/>
  <c r="AJ19" i="38"/>
  <c r="AJ5" i="38"/>
  <c r="AJ24" i="38"/>
  <c r="AJ7" i="38"/>
  <c r="AK7" i="38"/>
  <c r="AK10" i="38"/>
  <c r="AJ30" i="38"/>
  <c r="AK19" i="38"/>
  <c r="AK5" i="38"/>
  <c r="AJ18" i="38"/>
  <c r="AK9" i="38"/>
  <c r="AJ31" i="38"/>
  <c r="AK24" i="38"/>
  <c r="AJ28" i="38"/>
  <c r="AK29" i="38"/>
  <c r="AK11" i="38"/>
  <c r="AK16" i="38"/>
  <c r="AJ12" i="38"/>
  <c r="AJ15" i="38"/>
  <c r="AK32" i="38"/>
  <c r="AJ26" i="38"/>
  <c r="AJ13" i="38"/>
  <c r="AK25" i="38"/>
  <c r="AK26" i="38"/>
  <c r="AJ32" i="38"/>
  <c r="AK20" i="38"/>
  <c r="AJ11" i="38"/>
  <c r="AJ14" i="38"/>
  <c r="AJ21" i="38"/>
  <c r="AJ20" i="38"/>
  <c r="AJ17" i="38"/>
  <c r="AO3" i="38"/>
  <c r="AJ27" i="38"/>
  <c r="AJ25" i="38"/>
  <c r="AJ4" i="38"/>
  <c r="AJ8" i="38"/>
  <c r="AK3" i="38"/>
  <c r="AK87" i="38"/>
  <c r="AK27" i="38"/>
  <c r="AO6" i="38"/>
  <c r="AK42" i="38"/>
  <c r="AK44" i="38"/>
  <c r="AK34" i="38"/>
  <c r="AJ36" i="38"/>
  <c r="AJ34" i="38"/>
  <c r="AJ38" i="38"/>
  <c r="AJ35" i="38"/>
  <c r="AK36" i="38"/>
  <c r="AJ43" i="38"/>
  <c r="AP5" i="38"/>
  <c r="AK35" i="38"/>
  <c r="AJ37" i="38"/>
  <c r="AP6" i="38"/>
  <c r="AK39" i="38"/>
  <c r="AJ40" i="38"/>
  <c r="AK37" i="38"/>
  <c r="AK43" i="38"/>
  <c r="AJ39" i="38"/>
  <c r="AJ41" i="38"/>
  <c r="AJ42" i="38"/>
  <c r="AK38" i="38"/>
  <c r="AO5" i="38"/>
  <c r="AK40" i="38"/>
  <c r="AK41" i="38"/>
  <c r="AJ44" i="38"/>
  <c r="AO8" i="38"/>
  <c r="AK49" i="38"/>
  <c r="AJ48" i="38"/>
  <c r="AP7" i="38"/>
  <c r="AJ45" i="38"/>
  <c r="AK45" i="38"/>
  <c r="AK46" i="38"/>
  <c r="AO7" i="38"/>
  <c r="AK47" i="38"/>
  <c r="AJ47" i="38"/>
  <c r="AJ46" i="38"/>
  <c r="AJ49" i="38"/>
  <c r="AK48" i="38"/>
  <c r="AP8" i="38"/>
  <c r="AJ50" i="38"/>
  <c r="AK50" i="38"/>
  <c r="AJ51" i="38"/>
  <c r="AK51" i="38"/>
  <c r="AO15" i="38"/>
  <c r="AP15" i="38"/>
  <c r="AP20" i="38"/>
  <c r="AO10" i="38"/>
  <c r="AP10" i="38"/>
  <c r="AP9" i="38"/>
  <c r="AO9" i="38"/>
  <c r="AJ85" i="38"/>
  <c r="AK77" i="38"/>
  <c r="AK80" i="38"/>
  <c r="AK81" i="38"/>
  <c r="AJ76" i="38"/>
  <c r="AJ82" i="38"/>
  <c r="AK78" i="38"/>
  <c r="AJ78" i="38"/>
  <c r="AJ79" i="38"/>
  <c r="AJ80" i="38"/>
  <c r="AK79" i="38"/>
  <c r="AJ81" i="38"/>
  <c r="AJ77" i="38"/>
  <c r="AK76" i="38"/>
  <c r="AK82" i="38"/>
  <c r="AK83" i="38"/>
  <c r="AJ83" i="38"/>
  <c r="AJ84" i="38"/>
  <c r="AK84" i="38"/>
  <c r="AK53" i="38"/>
  <c r="AL54" i="38"/>
  <c r="AJ53" i="38"/>
  <c r="AK86" i="38"/>
  <c r="AJ86" i="38"/>
  <c r="G75" i="3"/>
  <c r="E75" i="3"/>
  <c r="G49" i="3"/>
  <c r="E49" i="3"/>
  <c r="G84" i="3"/>
  <c r="AQ7" i="38"/>
  <c r="AQ3" i="38"/>
  <c r="AQ5" i="38"/>
  <c r="AT31" i="38"/>
  <c r="AP31" i="38"/>
  <c r="AU31" i="38"/>
  <c r="AS31" i="38"/>
  <c r="AY31" i="38"/>
  <c r="AV31" i="38"/>
  <c r="AX31" i="38"/>
  <c r="AW31" i="38"/>
  <c r="AO32" i="38"/>
  <c r="AQ31" i="38"/>
  <c r="AR31" i="38"/>
  <c r="AQ9" i="38"/>
  <c r="AJ54" i="38"/>
  <c r="AK54" i="38"/>
  <c r="AL55" i="38"/>
  <c r="G94" i="3"/>
  <c r="I80" i="3"/>
  <c r="G83" i="3"/>
  <c r="G87" i="3"/>
  <c r="E87" i="3"/>
  <c r="G80" i="3"/>
  <c r="E80" i="3"/>
  <c r="S71" i="3"/>
  <c r="S100" i="3"/>
  <c r="S70" i="3"/>
  <c r="I30" i="3"/>
  <c r="G26" i="3"/>
  <c r="Z349" i="3" s="1"/>
  <c r="B3" i="38"/>
  <c r="AV32" i="38"/>
  <c r="AX32" i="38"/>
  <c r="AO33" i="38"/>
  <c r="AP32" i="38"/>
  <c r="AW32" i="38"/>
  <c r="AQ32" i="38"/>
  <c r="AY32" i="38"/>
  <c r="AR32" i="38"/>
  <c r="AT32" i="38"/>
  <c r="AU32" i="38"/>
  <c r="AS32" i="38"/>
  <c r="AJ55" i="38"/>
  <c r="AL56" i="38"/>
  <c r="AK55" i="38"/>
  <c r="AT33" i="38"/>
  <c r="AR33" i="38"/>
  <c r="AV33" i="38"/>
  <c r="AU33" i="38"/>
  <c r="AQ33" i="38"/>
  <c r="AS33" i="38"/>
  <c r="AO34" i="38"/>
  <c r="AY33" i="38"/>
  <c r="AW33" i="38"/>
  <c r="AP33" i="38"/>
  <c r="AX33" i="38"/>
  <c r="AL57" i="38"/>
  <c r="AJ56" i="38"/>
  <c r="AK56" i="38"/>
  <c r="K225" i="3"/>
  <c r="G219" i="3"/>
  <c r="L5" i="31"/>
  <c r="L6" i="31"/>
  <c r="L7" i="31"/>
  <c r="L8" i="31"/>
  <c r="L9" i="31"/>
  <c r="L10" i="31"/>
  <c r="L11" i="31"/>
  <c r="L12" i="31"/>
  <c r="L13" i="31"/>
  <c r="L14" i="31"/>
  <c r="L15" i="31"/>
  <c r="L16" i="31"/>
  <c r="L17" i="31"/>
  <c r="L18" i="31"/>
  <c r="L19" i="31"/>
  <c r="L20" i="31"/>
  <c r="AP34" i="38"/>
  <c r="AV34" i="38"/>
  <c r="AW34" i="38"/>
  <c r="AX34" i="38"/>
  <c r="AO35" i="38"/>
  <c r="AQ34" i="38"/>
  <c r="AY34" i="38"/>
  <c r="AU34" i="38"/>
  <c r="AS34" i="38"/>
  <c r="AR34" i="38"/>
  <c r="AT34" i="38"/>
  <c r="AJ57" i="38"/>
  <c r="AK57" i="38"/>
  <c r="AL58" i="38"/>
  <c r="J21" i="31"/>
  <c r="P10" i="31"/>
  <c r="P6" i="31"/>
  <c r="P7" i="31"/>
  <c r="P8" i="31"/>
  <c r="P9" i="31"/>
  <c r="P11" i="31"/>
  <c r="P12" i="31"/>
  <c r="P13" i="31"/>
  <c r="P14" i="31"/>
  <c r="P15" i="31"/>
  <c r="P16" i="31"/>
  <c r="P17" i="31"/>
  <c r="P18" i="31"/>
  <c r="P19" i="31"/>
  <c r="P20" i="31"/>
  <c r="P5" i="31"/>
  <c r="O6" i="31"/>
  <c r="O7" i="31"/>
  <c r="O8" i="31"/>
  <c r="O9" i="31"/>
  <c r="O10" i="31"/>
  <c r="O11" i="31"/>
  <c r="O12" i="31"/>
  <c r="O13" i="31"/>
  <c r="O14" i="31"/>
  <c r="O15" i="31"/>
  <c r="O16" i="31"/>
  <c r="O17" i="31"/>
  <c r="O18" i="31"/>
  <c r="O19" i="31"/>
  <c r="O20" i="31"/>
  <c r="O5" i="31"/>
  <c r="AQ35" i="38"/>
  <c r="AO36" i="38"/>
  <c r="AY35" i="38"/>
  <c r="AR35" i="38"/>
  <c r="AU35" i="38"/>
  <c r="AT35" i="38"/>
  <c r="AP35" i="38"/>
  <c r="AV35" i="38"/>
  <c r="AX35" i="38"/>
  <c r="AS35" i="38"/>
  <c r="AW35" i="38"/>
  <c r="AL59" i="38"/>
  <c r="AJ58" i="38"/>
  <c r="AK58" i="38"/>
  <c r="P21" i="31"/>
  <c r="AP36" i="38"/>
  <c r="AU36" i="38"/>
  <c r="AW36" i="38"/>
  <c r="AY36" i="38"/>
  <c r="AR36" i="38"/>
  <c r="AQ36" i="38"/>
  <c r="AS36" i="38"/>
  <c r="AX36" i="38"/>
  <c r="AO37" i="38"/>
  <c r="AV36" i="38"/>
  <c r="AT36" i="38"/>
  <c r="AJ59" i="38"/>
  <c r="AL60" i="38"/>
  <c r="AK59" i="38"/>
  <c r="AB365" i="1"/>
  <c r="F5" i="31"/>
  <c r="AB345" i="1"/>
  <c r="AV37" i="38"/>
  <c r="AS37" i="38"/>
  <c r="AO38" i="38"/>
  <c r="AP37" i="38"/>
  <c r="AQ37" i="38"/>
  <c r="AX37" i="38"/>
  <c r="AR37" i="38"/>
  <c r="AW37" i="38"/>
  <c r="AU37" i="38"/>
  <c r="AT37" i="38"/>
  <c r="AY37" i="38"/>
  <c r="AL61" i="38"/>
  <c r="AJ60" i="38"/>
  <c r="AK60" i="38"/>
  <c r="N21" i="31"/>
  <c r="AO39" i="38"/>
  <c r="AT38" i="38"/>
  <c r="AP38" i="38"/>
  <c r="AR38" i="38"/>
  <c r="AW38" i="38"/>
  <c r="AQ38" i="38"/>
  <c r="AY38" i="38"/>
  <c r="AS38" i="38"/>
  <c r="AV38" i="38"/>
  <c r="AX38" i="38"/>
  <c r="AU38" i="38"/>
  <c r="AK61" i="38"/>
  <c r="AJ61" i="38"/>
  <c r="AL62" i="38"/>
  <c r="O21" i="31"/>
  <c r="E130" i="3"/>
  <c r="AR39" i="38"/>
  <c r="AT39" i="38"/>
  <c r="AY39" i="38"/>
  <c r="AQ39" i="38"/>
  <c r="AP39" i="38"/>
  <c r="AV39" i="38"/>
  <c r="AW39" i="38"/>
  <c r="AX39" i="38"/>
  <c r="AO40" i="38"/>
  <c r="AS39" i="38"/>
  <c r="AU39" i="38"/>
  <c r="AL63" i="38"/>
  <c r="AJ62" i="38"/>
  <c r="AK62" i="38"/>
  <c r="H48" i="9"/>
  <c r="AX40" i="38"/>
  <c r="AU40" i="38"/>
  <c r="AT40" i="38"/>
  <c r="AV40" i="38"/>
  <c r="AQ40" i="38"/>
  <c r="AY40" i="38"/>
  <c r="AS40" i="38"/>
  <c r="AO41" i="38"/>
  <c r="AR40" i="38"/>
  <c r="AW40" i="38"/>
  <c r="AP40" i="38"/>
  <c r="AK63" i="38"/>
  <c r="AL64" i="38"/>
  <c r="AJ63" i="38"/>
  <c r="C12" i="28"/>
  <c r="C11" i="28"/>
  <c r="AQ41" i="38"/>
  <c r="AO42" i="38"/>
  <c r="AY41" i="38"/>
  <c r="AT41" i="38"/>
  <c r="AU41" i="38"/>
  <c r="AS41" i="38"/>
  <c r="AX41" i="38"/>
  <c r="AR41" i="38"/>
  <c r="AP41" i="38"/>
  <c r="AW41" i="38"/>
  <c r="AV41" i="38"/>
  <c r="AL65" i="38"/>
  <c r="AJ64" i="38"/>
  <c r="AK64" i="38"/>
  <c r="C8" i="30"/>
  <c r="C8" i="32"/>
  <c r="C8" i="29"/>
  <c r="C10" i="28"/>
  <c r="C8" i="27"/>
  <c r="C77" i="32"/>
  <c r="C56" i="32"/>
  <c r="C47" i="32"/>
  <c r="C12" i="32"/>
  <c r="C10" i="32"/>
  <c r="M3" i="32"/>
  <c r="M2" i="32"/>
  <c r="M1" i="32"/>
  <c r="G1" i="32"/>
  <c r="E1" i="32"/>
  <c r="A1" i="32"/>
  <c r="C10" i="29"/>
  <c r="AR42" i="38"/>
  <c r="AO43" i="38"/>
  <c r="AT42" i="38"/>
  <c r="AW42" i="38"/>
  <c r="AS42" i="38"/>
  <c r="AU42" i="38"/>
  <c r="AY42" i="38"/>
  <c r="AV42" i="38"/>
  <c r="AX42" i="38"/>
  <c r="AQ42" i="38"/>
  <c r="AP42" i="38"/>
  <c r="AL66" i="38"/>
  <c r="AJ65" i="38"/>
  <c r="AK65" i="38"/>
  <c r="E1" i="30"/>
  <c r="E1" i="29"/>
  <c r="E1" i="28"/>
  <c r="E1" i="27"/>
  <c r="AQ43" i="38"/>
  <c r="AW43" i="38"/>
  <c r="AO44" i="38"/>
  <c r="AX43" i="38"/>
  <c r="AR43" i="38"/>
  <c r="AP43" i="38"/>
  <c r="AS43" i="38"/>
  <c r="AU43" i="38"/>
  <c r="AT43" i="38"/>
  <c r="AY43" i="38"/>
  <c r="AV43" i="38"/>
  <c r="AK66" i="38"/>
  <c r="AJ66" i="38"/>
  <c r="AL67" i="38"/>
  <c r="E238" i="5"/>
  <c r="E219" i="3"/>
  <c r="AO45" i="38"/>
  <c r="AP44" i="38"/>
  <c r="AQ44" i="38"/>
  <c r="AX44" i="38"/>
  <c r="AW44" i="38"/>
  <c r="AY44" i="38"/>
  <c r="AR44" i="38"/>
  <c r="AS44" i="38"/>
  <c r="AV44" i="38"/>
  <c r="AT44" i="38"/>
  <c r="AU44" i="38"/>
  <c r="AK67" i="38"/>
  <c r="AJ67" i="38"/>
  <c r="AL68" i="38"/>
  <c r="G16" i="18"/>
  <c r="G15" i="18"/>
  <c r="G56" i="18"/>
  <c r="AS45" i="38"/>
  <c r="AY45" i="38"/>
  <c r="AP45" i="38"/>
  <c r="AT45" i="38"/>
  <c r="AX45" i="38"/>
  <c r="AV45" i="38"/>
  <c r="AO46" i="38"/>
  <c r="AW45" i="38"/>
  <c r="AR45" i="38"/>
  <c r="AQ45" i="38"/>
  <c r="AU45" i="38"/>
  <c r="AJ68" i="38"/>
  <c r="AL69" i="38"/>
  <c r="AK68" i="38"/>
  <c r="F7" i="31"/>
  <c r="AQ46" i="38"/>
  <c r="AW46" i="38"/>
  <c r="AY46" i="38"/>
  <c r="AS46" i="38"/>
  <c r="AX46" i="38"/>
  <c r="AV46" i="38"/>
  <c r="AO47" i="38"/>
  <c r="AR46" i="38"/>
  <c r="AT46" i="38"/>
  <c r="AP46" i="38"/>
  <c r="AU46" i="38"/>
  <c r="AJ69" i="38"/>
  <c r="AL70" i="38"/>
  <c r="AK69" i="38"/>
  <c r="E115" i="1"/>
  <c r="Q115" i="1" s="1"/>
  <c r="E114" i="1"/>
  <c r="AE377" i="1" s="1"/>
  <c r="E113" i="1"/>
  <c r="AD377" i="1" s="1"/>
  <c r="E112" i="1"/>
  <c r="AC377" i="1" s="1"/>
  <c r="E111" i="1"/>
  <c r="AB377" i="1" s="1"/>
  <c r="E110" i="1"/>
  <c r="AH377" i="1" s="1"/>
  <c r="AA377" i="1" s="1"/>
  <c r="E108" i="1"/>
  <c r="Q108" i="1" s="1"/>
  <c r="E107" i="1"/>
  <c r="AE376" i="1" s="1"/>
  <c r="E106" i="1"/>
  <c r="AD376" i="1" s="1"/>
  <c r="E105" i="1"/>
  <c r="AC376" i="1" s="1"/>
  <c r="E104" i="1"/>
  <c r="AB376" i="1" s="1"/>
  <c r="E103" i="1"/>
  <c r="B68" i="10" s="1"/>
  <c r="E101" i="1"/>
  <c r="Q101" i="1" s="1"/>
  <c r="E100" i="1"/>
  <c r="Q100" i="1" s="1"/>
  <c r="E99" i="1"/>
  <c r="AD375" i="1" s="1"/>
  <c r="E98" i="1"/>
  <c r="AC375" i="1" s="1"/>
  <c r="E97" i="1"/>
  <c r="AB375" i="1" s="1"/>
  <c r="E96" i="1"/>
  <c r="Q96" i="1" s="1"/>
  <c r="E94" i="1"/>
  <c r="Q94" i="1" s="1"/>
  <c r="E93" i="1"/>
  <c r="AE374" i="1" s="1"/>
  <c r="E92" i="1"/>
  <c r="AD374" i="1" s="1"/>
  <c r="E91" i="1"/>
  <c r="AC374" i="1" s="1"/>
  <c r="E90" i="1"/>
  <c r="AB374" i="1" s="1"/>
  <c r="E89" i="1"/>
  <c r="B52" i="10" s="1"/>
  <c r="E87" i="1"/>
  <c r="Q87" i="1" s="1"/>
  <c r="E86" i="1"/>
  <c r="AE373" i="1" s="1"/>
  <c r="E85" i="1"/>
  <c r="AD373" i="1" s="1"/>
  <c r="E84" i="1"/>
  <c r="Q84" i="1" s="1"/>
  <c r="E83" i="1"/>
  <c r="AB373" i="1" s="1"/>
  <c r="E82" i="1"/>
  <c r="B44" i="10" s="1"/>
  <c r="E80" i="1"/>
  <c r="Q80" i="1" s="1"/>
  <c r="E79" i="1"/>
  <c r="AE372" i="1" s="1"/>
  <c r="E78" i="1"/>
  <c r="AD372" i="1" s="1"/>
  <c r="E77" i="1"/>
  <c r="AC372" i="1" s="1"/>
  <c r="E76" i="1"/>
  <c r="AB372" i="1" s="1"/>
  <c r="E75" i="1"/>
  <c r="Q75" i="1" s="1"/>
  <c r="AP47" i="38"/>
  <c r="AQ47" i="38"/>
  <c r="AU47" i="38"/>
  <c r="AV47" i="38"/>
  <c r="AR47" i="38"/>
  <c r="AW47" i="38"/>
  <c r="AT47" i="38"/>
  <c r="AY47" i="38"/>
  <c r="AS47" i="38"/>
  <c r="AX47" i="38"/>
  <c r="AO48" i="38"/>
  <c r="AK70" i="38"/>
  <c r="AL71" i="38"/>
  <c r="AJ70" i="38"/>
  <c r="AO49" i="38"/>
  <c r="AX48" i="38"/>
  <c r="AW48" i="38"/>
  <c r="AR48" i="38"/>
  <c r="AY48" i="38"/>
  <c r="AP48" i="38"/>
  <c r="AS48" i="38"/>
  <c r="AU48" i="38"/>
  <c r="AV48" i="38"/>
  <c r="AQ48" i="38"/>
  <c r="AT48" i="38"/>
  <c r="AK71" i="38"/>
  <c r="AJ71" i="38"/>
  <c r="AL72" i="38"/>
  <c r="AP49" i="38"/>
  <c r="AQ49" i="38"/>
  <c r="AS49" i="38"/>
  <c r="AR49" i="38"/>
  <c r="AX49" i="38"/>
  <c r="AU49" i="38"/>
  <c r="AV49" i="38"/>
  <c r="AO50" i="38"/>
  <c r="AT49" i="38"/>
  <c r="AW49" i="38"/>
  <c r="AY49" i="38"/>
  <c r="AL73" i="38"/>
  <c r="AJ72" i="38"/>
  <c r="AK72" i="38"/>
  <c r="M248" i="5"/>
  <c r="AQ50" i="38"/>
  <c r="AO51" i="38"/>
  <c r="AY50" i="38"/>
  <c r="AU50" i="38"/>
  <c r="AW50" i="38"/>
  <c r="AR50" i="38"/>
  <c r="AT50" i="38"/>
  <c r="AV50" i="38"/>
  <c r="AX50" i="38"/>
  <c r="AP50" i="38"/>
  <c r="AS50" i="38"/>
  <c r="AJ73" i="38"/>
  <c r="AK73" i="38"/>
  <c r="AL74" i="38"/>
  <c r="M156" i="5"/>
  <c r="E182" i="1"/>
  <c r="Q182" i="1" s="1"/>
  <c r="E181" i="1"/>
  <c r="Q181" i="1" s="1"/>
  <c r="E180" i="1"/>
  <c r="Q180" i="1" s="1"/>
  <c r="E179" i="1"/>
  <c r="Q179" i="1" s="1"/>
  <c r="E178" i="1"/>
  <c r="AB392" i="1" s="1"/>
  <c r="E174" i="1"/>
  <c r="Q174" i="1" s="1"/>
  <c r="E173" i="1"/>
  <c r="Q173" i="1" s="1"/>
  <c r="E172" i="1"/>
  <c r="Q172" i="1" s="1"/>
  <c r="E171" i="1"/>
  <c r="Q171" i="1" s="1"/>
  <c r="E170" i="1"/>
  <c r="Q170" i="1" s="1"/>
  <c r="E166" i="1"/>
  <c r="Q166" i="1" s="1"/>
  <c r="E165" i="1"/>
  <c r="Q165" i="1" s="1"/>
  <c r="E164" i="1"/>
  <c r="Q164" i="1" s="1"/>
  <c r="E163" i="1"/>
  <c r="Q163" i="1" s="1"/>
  <c r="E162" i="1"/>
  <c r="Q162" i="1" s="1"/>
  <c r="E158" i="1"/>
  <c r="Q158" i="1" s="1"/>
  <c r="E157" i="1"/>
  <c r="Q157" i="1" s="1"/>
  <c r="E156" i="1"/>
  <c r="Q156" i="1" s="1"/>
  <c r="E155" i="1"/>
  <c r="Q155" i="1" s="1"/>
  <c r="E154" i="1"/>
  <c r="AB389" i="1" s="1"/>
  <c r="E150" i="1"/>
  <c r="Q150" i="1" s="1"/>
  <c r="E149" i="1"/>
  <c r="Q149" i="1" s="1"/>
  <c r="E148" i="1"/>
  <c r="Q148" i="1" s="1"/>
  <c r="E147" i="1"/>
  <c r="AC388" i="1" s="1"/>
  <c r="E146" i="1"/>
  <c r="Q146" i="1" s="1"/>
  <c r="E142" i="1"/>
  <c r="Q142" i="1" s="1"/>
  <c r="E141" i="1"/>
  <c r="Q141" i="1" s="1"/>
  <c r="E140" i="1"/>
  <c r="Q140" i="1" s="1"/>
  <c r="E139" i="1"/>
  <c r="AC387" i="1" s="1"/>
  <c r="E138" i="1"/>
  <c r="Q138" i="1" s="1"/>
  <c r="E134" i="1"/>
  <c r="Q134" i="1" s="1"/>
  <c r="E133" i="1"/>
  <c r="Q133" i="1" s="1"/>
  <c r="E132" i="1"/>
  <c r="Q132" i="1" s="1"/>
  <c r="E131" i="1"/>
  <c r="AC386" i="1" s="1"/>
  <c r="E130" i="1"/>
  <c r="Q130" i="1" s="1"/>
  <c r="Q113" i="1"/>
  <c r="Q111" i="1"/>
  <c r="AV51" i="38"/>
  <c r="AY51" i="38"/>
  <c r="AX51" i="38"/>
  <c r="AP51" i="38"/>
  <c r="AT51" i="38"/>
  <c r="AW51" i="38"/>
  <c r="AO52" i="38"/>
  <c r="AU51" i="38"/>
  <c r="AR51" i="38"/>
  <c r="AS51" i="38"/>
  <c r="AQ51" i="38"/>
  <c r="AL75" i="38"/>
  <c r="AJ74" i="38"/>
  <c r="AK74" i="38"/>
  <c r="E68" i="1"/>
  <c r="AH371" i="1" s="1"/>
  <c r="AA371" i="1" s="1"/>
  <c r="E61" i="1"/>
  <c r="Q61" i="1" s="1"/>
  <c r="B20" i="10"/>
  <c r="AR52" i="38"/>
  <c r="AT52" i="38"/>
  <c r="AV52" i="38"/>
  <c r="AP52" i="38"/>
  <c r="AW52" i="38"/>
  <c r="AU52" i="38"/>
  <c r="AX52" i="38"/>
  <c r="AS52" i="38"/>
  <c r="AY52" i="38"/>
  <c r="AQ52" i="38"/>
  <c r="AO53" i="38"/>
  <c r="AJ75" i="38"/>
  <c r="AK75" i="38"/>
  <c r="W163" i="5"/>
  <c r="AU53" i="38"/>
  <c r="AT53" i="38"/>
  <c r="AY53" i="38"/>
  <c r="AR53" i="38"/>
  <c r="AP53" i="38"/>
  <c r="AS53" i="38"/>
  <c r="AX53" i="38"/>
  <c r="AV53" i="38"/>
  <c r="AQ53" i="38"/>
  <c r="AO54" i="38"/>
  <c r="AW53" i="38"/>
  <c r="E21" i="31"/>
  <c r="AO55" i="38"/>
  <c r="AY54" i="38"/>
  <c r="AU54" i="38"/>
  <c r="AV54" i="38"/>
  <c r="AS54" i="38"/>
  <c r="AP54" i="38"/>
  <c r="AR54" i="38"/>
  <c r="AX54" i="38"/>
  <c r="AT54" i="38"/>
  <c r="AQ54" i="38"/>
  <c r="AW54" i="38"/>
  <c r="F6" i="31"/>
  <c r="F8" i="31"/>
  <c r="F9" i="31"/>
  <c r="F10" i="31"/>
  <c r="F11" i="31"/>
  <c r="F12" i="31"/>
  <c r="F13" i="31"/>
  <c r="F14" i="31"/>
  <c r="F15" i="31"/>
  <c r="F16" i="31"/>
  <c r="F17" i="31"/>
  <c r="F18" i="31"/>
  <c r="F19" i="31"/>
  <c r="F20" i="31"/>
  <c r="C21" i="31"/>
  <c r="B21" i="31"/>
  <c r="AT55" i="38"/>
  <c r="AO56" i="38"/>
  <c r="AV55" i="38"/>
  <c r="AP55" i="38"/>
  <c r="AR55" i="38"/>
  <c r="AX55" i="38"/>
  <c r="AS55" i="38"/>
  <c r="AU55" i="38"/>
  <c r="AQ55" i="38"/>
  <c r="AY55" i="38"/>
  <c r="AW55" i="38"/>
  <c r="F21" i="31"/>
  <c r="AP56" i="38"/>
  <c r="AR56" i="38"/>
  <c r="AT56" i="38"/>
  <c r="AQ56" i="38"/>
  <c r="AS56" i="38"/>
  <c r="AV56" i="38"/>
  <c r="AW56" i="38"/>
  <c r="AX56" i="38"/>
  <c r="AU56" i="38"/>
  <c r="AY56" i="38"/>
  <c r="AO57" i="38"/>
  <c r="AB362" i="1"/>
  <c r="AD362" i="1"/>
  <c r="AB363" i="1"/>
  <c r="Q136" i="1"/>
  <c r="AX57" i="38"/>
  <c r="AR57" i="38"/>
  <c r="AS57" i="38"/>
  <c r="AP57" i="38"/>
  <c r="AY57" i="38"/>
  <c r="AO58" i="38"/>
  <c r="AV57" i="38"/>
  <c r="AT57" i="38"/>
  <c r="AW57" i="38"/>
  <c r="AQ57" i="38"/>
  <c r="AU57" i="38"/>
  <c r="C11" i="30"/>
  <c r="C10" i="30"/>
  <c r="C80" i="30"/>
  <c r="C61" i="30"/>
  <c r="C52" i="30"/>
  <c r="C17" i="30"/>
  <c r="C15" i="30"/>
  <c r="M3" i="30"/>
  <c r="M2" i="30"/>
  <c r="M1" i="30"/>
  <c r="G1" i="30"/>
  <c r="A1" i="30"/>
  <c r="C77" i="29"/>
  <c r="C56" i="29"/>
  <c r="C47" i="29"/>
  <c r="C12" i="29"/>
  <c r="M3" i="29"/>
  <c r="M2" i="29"/>
  <c r="M1" i="29"/>
  <c r="G1" i="29"/>
  <c r="A1" i="29"/>
  <c r="AT58" i="38"/>
  <c r="AV58" i="38"/>
  <c r="AR58" i="38"/>
  <c r="AX58" i="38"/>
  <c r="AY58" i="38"/>
  <c r="AU58" i="38"/>
  <c r="AP58" i="38"/>
  <c r="AS58" i="38"/>
  <c r="AQ58" i="38"/>
  <c r="AW58" i="38"/>
  <c r="AO59" i="38"/>
  <c r="C28" i="28"/>
  <c r="C94" i="28"/>
  <c r="C91" i="28"/>
  <c r="C89" i="28"/>
  <c r="C75" i="28"/>
  <c r="C64" i="28"/>
  <c r="C18" i="28"/>
  <c r="C17" i="28"/>
  <c r="C14" i="28"/>
  <c r="M3" i="28"/>
  <c r="M2" i="28"/>
  <c r="M1" i="28"/>
  <c r="G1" i="28"/>
  <c r="A1" i="28"/>
  <c r="S225" i="5"/>
  <c r="S223" i="5"/>
  <c r="C107" i="28"/>
  <c r="C86" i="27"/>
  <c r="C83" i="27"/>
  <c r="C81" i="27"/>
  <c r="AV59" i="38"/>
  <c r="AO60" i="38"/>
  <c r="AS59" i="38"/>
  <c r="AP59" i="38"/>
  <c r="AY59" i="38"/>
  <c r="AR59" i="38"/>
  <c r="AX59" i="38"/>
  <c r="AT59" i="38"/>
  <c r="AU59" i="38"/>
  <c r="AQ59" i="38"/>
  <c r="AW59" i="38"/>
  <c r="C99" i="27"/>
  <c r="C67" i="27"/>
  <c r="C56" i="27"/>
  <c r="C14" i="27"/>
  <c r="C13" i="27"/>
  <c r="C10" i="27"/>
  <c r="AS60" i="38"/>
  <c r="AX60" i="38"/>
  <c r="AV60" i="38"/>
  <c r="AU60" i="38"/>
  <c r="AR60" i="38"/>
  <c r="AQ60" i="38"/>
  <c r="AO61" i="38"/>
  <c r="AT60" i="38"/>
  <c r="AW60" i="38"/>
  <c r="AP60" i="38"/>
  <c r="AY60" i="38"/>
  <c r="M3" i="27"/>
  <c r="M2" i="27"/>
  <c r="M1" i="27"/>
  <c r="G1" i="27"/>
  <c r="A1" i="27"/>
  <c r="AQ61" i="38"/>
  <c r="AS61" i="38"/>
  <c r="AU61" i="38"/>
  <c r="AV61" i="38"/>
  <c r="AW61" i="38"/>
  <c r="AP61" i="38"/>
  <c r="AO62" i="38"/>
  <c r="AR61" i="38"/>
  <c r="AX61" i="38"/>
  <c r="AT61" i="38"/>
  <c r="AY61" i="38"/>
  <c r="E17" i="1"/>
  <c r="AU62" i="38"/>
  <c r="AR62" i="38"/>
  <c r="AV62" i="38"/>
  <c r="AW62" i="38"/>
  <c r="AP62" i="38"/>
  <c r="AS62" i="38"/>
  <c r="AQ62" i="38"/>
  <c r="AY62" i="38"/>
  <c r="AO63" i="38"/>
  <c r="AX62" i="38"/>
  <c r="AT62" i="38"/>
  <c r="J193" i="1"/>
  <c r="J192" i="1"/>
  <c r="AP63" i="38"/>
  <c r="AX63" i="38"/>
  <c r="AS63" i="38"/>
  <c r="AR63" i="38"/>
  <c r="AY63" i="38"/>
  <c r="AU63" i="38"/>
  <c r="AQ63" i="38"/>
  <c r="AT63" i="38"/>
  <c r="AO64" i="38"/>
  <c r="AV63" i="38"/>
  <c r="AW63" i="38"/>
  <c r="M194" i="1"/>
  <c r="AT64" i="38"/>
  <c r="AY64" i="38"/>
  <c r="AS64" i="38"/>
  <c r="AR64" i="38"/>
  <c r="AP64" i="38"/>
  <c r="AU64" i="38"/>
  <c r="AO65" i="38"/>
  <c r="AV64" i="38"/>
  <c r="AX64" i="38"/>
  <c r="AQ64" i="38"/>
  <c r="AW64" i="38"/>
  <c r="S3" i="5"/>
  <c r="AY65" i="38"/>
  <c r="AQ65" i="38"/>
  <c r="AP65" i="38"/>
  <c r="AR65" i="38"/>
  <c r="AT65" i="38"/>
  <c r="AS65" i="38"/>
  <c r="AX65" i="38"/>
  <c r="AW65" i="38"/>
  <c r="AU65" i="38"/>
  <c r="AO66" i="38"/>
  <c r="AV65" i="38"/>
  <c r="E221" i="5"/>
  <c r="AY66" i="38"/>
  <c r="AS66" i="38"/>
  <c r="AW66" i="38"/>
  <c r="AX66" i="38"/>
  <c r="AQ66" i="38"/>
  <c r="AU66" i="38"/>
  <c r="AV66" i="38"/>
  <c r="AR66" i="38"/>
  <c r="AO67" i="38"/>
  <c r="AP66" i="38"/>
  <c r="AT66" i="38"/>
  <c r="I27" i="3"/>
  <c r="AU67" i="38"/>
  <c r="AO68" i="38"/>
  <c r="AW67" i="38"/>
  <c r="AQ67" i="38"/>
  <c r="AS67" i="38"/>
  <c r="AP67" i="38"/>
  <c r="AX67" i="38"/>
  <c r="AY67" i="38"/>
  <c r="AT67" i="38"/>
  <c r="AR67" i="38"/>
  <c r="AV67" i="38"/>
  <c r="G32" i="3"/>
  <c r="G24" i="3"/>
  <c r="G23" i="17" s="1"/>
  <c r="G64" i="17" s="1"/>
  <c r="G29" i="3"/>
  <c r="AS68" i="38"/>
  <c r="AX68" i="38"/>
  <c r="AR68" i="38"/>
  <c r="AW68" i="38"/>
  <c r="AY68" i="38"/>
  <c r="AV68" i="38"/>
  <c r="AT68" i="38"/>
  <c r="AQ68" i="38"/>
  <c r="AU68" i="38"/>
  <c r="AP68" i="38"/>
  <c r="AO69" i="38"/>
  <c r="N17" i="24"/>
  <c r="L29" i="24"/>
  <c r="N16" i="24"/>
  <c r="L20" i="24"/>
  <c r="N13" i="24"/>
  <c r="AA35" i="24"/>
  <c r="N17" i="6"/>
  <c r="N16" i="6"/>
  <c r="AX69" i="38"/>
  <c r="AT69" i="38"/>
  <c r="AV69" i="38"/>
  <c r="AU69" i="38"/>
  <c r="AQ69" i="38"/>
  <c r="AP69" i="38"/>
  <c r="AO70" i="38"/>
  <c r="AR69" i="38"/>
  <c r="AS69" i="38"/>
  <c r="AW69" i="38"/>
  <c r="AY69" i="38"/>
  <c r="C83" i="28"/>
  <c r="C77" i="27"/>
  <c r="C85" i="28"/>
  <c r="C75" i="27"/>
  <c r="AW70" i="38"/>
  <c r="AT70" i="38"/>
  <c r="AU70" i="38"/>
  <c r="AR70" i="38"/>
  <c r="AY70" i="38"/>
  <c r="AV70" i="38"/>
  <c r="AP70" i="38"/>
  <c r="AX70" i="38"/>
  <c r="AS70" i="38"/>
  <c r="AQ70" i="38"/>
  <c r="F3" i="23"/>
  <c r="E37" i="1"/>
  <c r="E36" i="1"/>
  <c r="N15" i="24"/>
  <c r="L23" i="24"/>
  <c r="AB344" i="1"/>
  <c r="AB343" i="1"/>
  <c r="I20" i="1"/>
  <c r="U163" i="5"/>
  <c r="G43" i="1"/>
  <c r="G45" i="1"/>
  <c r="A45" i="1"/>
  <c r="A43" i="1"/>
  <c r="A42" i="1"/>
  <c r="F23" i="23"/>
  <c r="Q50" i="1"/>
  <c r="F50" i="1"/>
  <c r="G50" i="1"/>
  <c r="S237" i="3"/>
  <c r="W50" i="1"/>
  <c r="E50" i="1"/>
  <c r="D28" i="23"/>
  <c r="U164" i="5"/>
  <c r="C62" i="32"/>
  <c r="C64" i="32"/>
  <c r="AZ276" i="5"/>
  <c r="C110" i="28"/>
  <c r="C104" i="27"/>
  <c r="S181" i="3"/>
  <c r="S177" i="3"/>
  <c r="C61" i="32"/>
  <c r="C63" i="32"/>
  <c r="F33" i="23"/>
  <c r="U50" i="1"/>
  <c r="C129" i="5"/>
  <c r="U230" i="5"/>
  <c r="C68" i="32"/>
  <c r="E224" i="5"/>
  <c r="C73" i="30"/>
  <c r="C68" i="29"/>
  <c r="Z351" i="3"/>
  <c r="Z350" i="3"/>
  <c r="U38" i="1"/>
  <c r="U37" i="1"/>
  <c r="G59" i="3"/>
  <c r="E59" i="3"/>
  <c r="G61" i="3"/>
  <c r="E61" i="3"/>
  <c r="Q39" i="20"/>
  <c r="C65" i="28"/>
  <c r="C57" i="27"/>
  <c r="B88" i="15"/>
  <c r="B88" i="13"/>
  <c r="G16" i="20"/>
  <c r="I26" i="20" s="1"/>
  <c r="S45" i="3"/>
  <c r="G66" i="3"/>
  <c r="K59" i="3"/>
  <c r="E66" i="3"/>
  <c r="G19" i="17"/>
  <c r="G32" i="17"/>
  <c r="G24" i="17"/>
  <c r="G81" i="17"/>
  <c r="I83" i="17" s="1"/>
  <c r="G22" i="17"/>
  <c r="G114" i="17"/>
  <c r="I116" i="17" s="1"/>
  <c r="G21" i="17"/>
  <c r="G52" i="17"/>
  <c r="I54" i="17" s="1"/>
  <c r="G20" i="17"/>
  <c r="G95" i="17" s="1"/>
  <c r="I98" i="17" s="1"/>
  <c r="G18" i="17"/>
  <c r="G102" i="17"/>
  <c r="I104" i="17" s="1"/>
  <c r="G17" i="17"/>
  <c r="G71" i="17" s="1"/>
  <c r="I73" i="17" s="1"/>
  <c r="G16" i="17"/>
  <c r="G42" i="17" s="1"/>
  <c r="I44" i="17" s="1"/>
  <c r="G65" i="18"/>
  <c r="I16" i="17"/>
  <c r="I21" i="17"/>
  <c r="S22" i="18"/>
  <c r="C75" i="32"/>
  <c r="C76" i="32"/>
  <c r="S21" i="18"/>
  <c r="I21" i="18"/>
  <c r="I65" i="18"/>
  <c r="I56" i="18"/>
  <c r="N47" i="18"/>
  <c r="I39" i="18"/>
  <c r="C104" i="28"/>
  <c r="C96" i="27"/>
  <c r="C75" i="29"/>
  <c r="C76" i="29"/>
  <c r="C78" i="30"/>
  <c r="C79" i="30"/>
  <c r="S135" i="17"/>
  <c r="C101" i="27"/>
  <c r="S125" i="17"/>
  <c r="S124" i="17"/>
  <c r="C72" i="32"/>
  <c r="K64" i="17"/>
  <c r="C64" i="17"/>
  <c r="I37" i="17"/>
  <c r="C72" i="29"/>
  <c r="C77" i="30"/>
  <c r="C109" i="28"/>
  <c r="C102" i="27"/>
  <c r="E7" i="9"/>
  <c r="E8" i="9" s="1"/>
  <c r="E9" i="9"/>
  <c r="E11" i="9" s="1"/>
  <c r="H21" i="9" s="1"/>
  <c r="AD348" i="1"/>
  <c r="Q271" i="1"/>
  <c r="G33" i="8"/>
  <c r="S32" i="8"/>
  <c r="Q22" i="1"/>
  <c r="C112" i="28"/>
  <c r="C106" i="27"/>
  <c r="A7" i="15"/>
  <c r="A7" i="13"/>
  <c r="G101" i="5"/>
  <c r="L20" i="6"/>
  <c r="M109" i="5"/>
  <c r="K109" i="5"/>
  <c r="Q109" i="5"/>
  <c r="U110" i="5" s="1"/>
  <c r="O109" i="5"/>
  <c r="U109" i="5" s="1"/>
  <c r="J100" i="5"/>
  <c r="U117" i="5"/>
  <c r="AH341" i="1"/>
  <c r="AH340" i="1"/>
  <c r="AH339" i="1"/>
  <c r="AH338" i="1"/>
  <c r="AH337" i="1"/>
  <c r="AH335" i="1"/>
  <c r="M209" i="1"/>
  <c r="M204" i="1"/>
  <c r="Q177" i="1"/>
  <c r="Q153" i="1"/>
  <c r="Q129" i="1"/>
  <c r="B102" i="10"/>
  <c r="AE381" i="1"/>
  <c r="AE380" i="1"/>
  <c r="AD381" i="1"/>
  <c r="AD380" i="1"/>
  <c r="AC381" i="1"/>
  <c r="AC380" i="1"/>
  <c r="AB381" i="1"/>
  <c r="AB380" i="1"/>
  <c r="J208" i="1"/>
  <c r="J207" i="1"/>
  <c r="J203" i="1"/>
  <c r="J202" i="1"/>
  <c r="J198" i="1"/>
  <c r="AC379" i="1"/>
  <c r="J197" i="1"/>
  <c r="AB379" i="1"/>
  <c r="G209" i="1"/>
  <c r="G208" i="1"/>
  <c r="G204" i="1"/>
  <c r="G203" i="1"/>
  <c r="G199" i="1"/>
  <c r="G198" i="1"/>
  <c r="A209" i="1"/>
  <c r="A208" i="1"/>
  <c r="A204" i="1"/>
  <c r="A203" i="1"/>
  <c r="A199" i="1"/>
  <c r="A198" i="1"/>
  <c r="AE378" i="1"/>
  <c r="AD378" i="1"/>
  <c r="G194" i="1"/>
  <c r="G193" i="1"/>
  <c r="A194" i="1"/>
  <c r="A193" i="1"/>
  <c r="J261" i="1"/>
  <c r="AE341" i="1" s="1"/>
  <c r="J260" i="1"/>
  <c r="AD341" i="1" s="1"/>
  <c r="J255" i="1"/>
  <c r="AE340" i="1" s="1"/>
  <c r="J254" i="1"/>
  <c r="AD340" i="1" s="1"/>
  <c r="J249" i="1"/>
  <c r="AE339" i="1" s="1"/>
  <c r="J248" i="1"/>
  <c r="AD339" i="1" s="1"/>
  <c r="J243" i="1"/>
  <c r="AE338" i="1" s="1"/>
  <c r="J242" i="1"/>
  <c r="AD338" i="1" s="1"/>
  <c r="G264" i="1"/>
  <c r="G263" i="1"/>
  <c r="G258" i="1"/>
  <c r="G257" i="1"/>
  <c r="G252" i="1"/>
  <c r="G251" i="1"/>
  <c r="G246" i="1"/>
  <c r="G245" i="1"/>
  <c r="A264" i="1"/>
  <c r="A263" i="1"/>
  <c r="A258" i="1"/>
  <c r="A257" i="1"/>
  <c r="A252" i="1"/>
  <c r="A251" i="1"/>
  <c r="A246" i="1"/>
  <c r="A245" i="1"/>
  <c r="G234" i="1"/>
  <c r="G233" i="1"/>
  <c r="A234" i="1"/>
  <c r="A233" i="1"/>
  <c r="G240" i="1"/>
  <c r="G239" i="1"/>
  <c r="A240" i="1"/>
  <c r="A239" i="1"/>
  <c r="G228" i="1"/>
  <c r="G227" i="1"/>
  <c r="A228" i="1"/>
  <c r="A227" i="1"/>
  <c r="G222" i="1"/>
  <c r="G221" i="1"/>
  <c r="A222" i="1"/>
  <c r="A221" i="1"/>
  <c r="AA426" i="1"/>
  <c r="AB426" i="1"/>
  <c r="AC426" i="1"/>
  <c r="AA424" i="1"/>
  <c r="AA423" i="1"/>
  <c r="AA422" i="1"/>
  <c r="AA421" i="1"/>
  <c r="AF405" i="1"/>
  <c r="AF404" i="1"/>
  <c r="AC404" i="1"/>
  <c r="Q24" i="1"/>
  <c r="AH381" i="1"/>
  <c r="AA381" i="1" s="1"/>
  <c r="AH380" i="1"/>
  <c r="AA380" i="1" s="1"/>
  <c r="AH379" i="1"/>
  <c r="AA379" i="1" s="1"/>
  <c r="AH378" i="1"/>
  <c r="AA378" i="1" s="1"/>
  <c r="B11" i="10"/>
  <c r="Q56" i="1"/>
  <c r="E57" i="1"/>
  <c r="Q57" i="1"/>
  <c r="E58" i="1"/>
  <c r="Q58" i="1"/>
  <c r="E59" i="1"/>
  <c r="B88" i="8"/>
  <c r="E20" i="10"/>
  <c r="E62" i="1"/>
  <c r="AB370" i="1" s="1"/>
  <c r="F20" i="10"/>
  <c r="E63" i="1"/>
  <c r="Q63" i="1" s="1"/>
  <c r="G20" i="10"/>
  <c r="E64" i="1"/>
  <c r="Q64" i="1" s="1"/>
  <c r="H20" i="10"/>
  <c r="E65" i="1"/>
  <c r="AE370" i="1" s="1"/>
  <c r="I20" i="10"/>
  <c r="E66" i="1"/>
  <c r="Q66" i="1" s="1"/>
  <c r="E28" i="10"/>
  <c r="E69" i="1"/>
  <c r="Q69" i="1" s="1"/>
  <c r="F28" i="10"/>
  <c r="E70" i="1" s="1"/>
  <c r="G28" i="10"/>
  <c r="E71" i="1"/>
  <c r="Q71" i="1" s="1"/>
  <c r="H28" i="10"/>
  <c r="E72" i="1"/>
  <c r="Q72" i="1" s="1"/>
  <c r="I28" i="10"/>
  <c r="E73" i="1"/>
  <c r="Q73" i="1" s="1"/>
  <c r="E36" i="10"/>
  <c r="F36" i="10"/>
  <c r="G36" i="10"/>
  <c r="H36" i="10"/>
  <c r="I36" i="10"/>
  <c r="E44" i="10"/>
  <c r="F44" i="10"/>
  <c r="G44" i="10"/>
  <c r="H44" i="10"/>
  <c r="I44" i="10"/>
  <c r="E52" i="10"/>
  <c r="F52" i="10"/>
  <c r="G52" i="10"/>
  <c r="H52" i="10"/>
  <c r="I52" i="10"/>
  <c r="E60" i="10"/>
  <c r="F60" i="10"/>
  <c r="G60" i="10"/>
  <c r="H60" i="10"/>
  <c r="I60" i="10"/>
  <c r="E68" i="10"/>
  <c r="F68" i="10"/>
  <c r="G68" i="10"/>
  <c r="H68" i="10"/>
  <c r="I68" i="10"/>
  <c r="E76" i="10"/>
  <c r="F76" i="10"/>
  <c r="G76" i="10"/>
  <c r="H76" i="10"/>
  <c r="I76" i="10"/>
  <c r="E86" i="10"/>
  <c r="AL324" i="1" s="1"/>
  <c r="E122" i="1"/>
  <c r="Q122" i="1" s="1"/>
  <c r="F86" i="10"/>
  <c r="AM324" i="1" s="1"/>
  <c r="E123" i="1"/>
  <c r="AC385" i="1" s="1"/>
  <c r="G86" i="10"/>
  <c r="E124" i="1"/>
  <c r="Q124" i="1" s="1"/>
  <c r="H86" i="10"/>
  <c r="E125" i="1"/>
  <c r="Q125" i="1" s="1"/>
  <c r="I86" i="10"/>
  <c r="E126" i="1"/>
  <c r="Q126" i="1" s="1"/>
  <c r="G94" i="10"/>
  <c r="H94" i="10"/>
  <c r="I94" i="10"/>
  <c r="G102" i="10"/>
  <c r="H102" i="10"/>
  <c r="I102" i="10"/>
  <c r="G110" i="10"/>
  <c r="H110" i="10"/>
  <c r="I110" i="10"/>
  <c r="G118" i="10"/>
  <c r="H118" i="10"/>
  <c r="I118" i="10"/>
  <c r="G126" i="10"/>
  <c r="H126" i="10"/>
  <c r="I126" i="10"/>
  <c r="G134" i="10"/>
  <c r="H134" i="10"/>
  <c r="I134" i="10"/>
  <c r="G142" i="10"/>
  <c r="H142" i="10"/>
  <c r="I142" i="10"/>
  <c r="E152" i="10"/>
  <c r="AJ324" i="1" s="1"/>
  <c r="F152" i="10"/>
  <c r="AK324" i="1" s="1"/>
  <c r="G152" i="10"/>
  <c r="H152" i="10"/>
  <c r="I152" i="10"/>
  <c r="B160" i="10"/>
  <c r="G160" i="10"/>
  <c r="H160" i="10"/>
  <c r="I160" i="10"/>
  <c r="G168" i="10"/>
  <c r="H168" i="10"/>
  <c r="I168" i="10"/>
  <c r="B176" i="10"/>
  <c r="G176" i="10"/>
  <c r="H176" i="10"/>
  <c r="I176" i="10"/>
  <c r="G184" i="10"/>
  <c r="H184" i="10"/>
  <c r="I184" i="10"/>
  <c r="G192" i="10"/>
  <c r="H192" i="10"/>
  <c r="I192" i="10"/>
  <c r="B200" i="10"/>
  <c r="G200" i="10"/>
  <c r="H200" i="10"/>
  <c r="I200" i="10"/>
  <c r="B208" i="10"/>
  <c r="G208" i="10"/>
  <c r="H208" i="10"/>
  <c r="I208" i="10"/>
  <c r="E5" i="9"/>
  <c r="B217" i="13"/>
  <c r="A217" i="13"/>
  <c r="K27" i="9"/>
  <c r="E10" i="9"/>
  <c r="K28" i="9" s="1"/>
  <c r="E12" i="9"/>
  <c r="E13" i="9"/>
  <c r="E14" i="9"/>
  <c r="G18" i="9"/>
  <c r="F24" i="9"/>
  <c r="F25" i="9"/>
  <c r="F30" i="9"/>
  <c r="F31" i="9"/>
  <c r="F32" i="9"/>
  <c r="F33" i="9"/>
  <c r="F34" i="9"/>
  <c r="F35" i="9"/>
  <c r="B111" i="16"/>
  <c r="A111" i="16"/>
  <c r="D89" i="8"/>
  <c r="N13" i="6"/>
  <c r="AA35" i="6"/>
  <c r="C71" i="32"/>
  <c r="L29" i="6"/>
  <c r="S44" i="3"/>
  <c r="S98" i="3"/>
  <c r="E53" i="3"/>
  <c r="G53" i="3"/>
  <c r="I53" i="3"/>
  <c r="G56" i="3"/>
  <c r="E134" i="3"/>
  <c r="I134" i="3"/>
  <c r="M134" i="3"/>
  <c r="E137" i="3"/>
  <c r="I137" i="3"/>
  <c r="M137" i="3"/>
  <c r="E146" i="3"/>
  <c r="G150" i="3" s="1"/>
  <c r="E147" i="3"/>
  <c r="G153" i="3" s="1"/>
  <c r="E150" i="3"/>
  <c r="I150" i="3"/>
  <c r="M150" i="3"/>
  <c r="I153" i="3"/>
  <c r="G216" i="3"/>
  <c r="S230" i="3"/>
  <c r="C49" i="32"/>
  <c r="C245" i="3"/>
  <c r="G245" i="3"/>
  <c r="K245" i="3"/>
  <c r="P44" i="4"/>
  <c r="P49" i="4"/>
  <c r="G3" i="5"/>
  <c r="H40" i="4"/>
  <c r="K3" i="5"/>
  <c r="M3" i="5"/>
  <c r="E240" i="5"/>
  <c r="S4" i="5"/>
  <c r="S5" i="5"/>
  <c r="G155" i="5"/>
  <c r="G162" i="5"/>
  <c r="C170" i="5"/>
  <c r="G243" i="5"/>
  <c r="G247" i="5"/>
  <c r="E25" i="1"/>
  <c r="Q36" i="1"/>
  <c r="U36" i="1"/>
  <c r="E20" i="1"/>
  <c r="Q37" i="1"/>
  <c r="AA312" i="1"/>
  <c r="AB312" i="1"/>
  <c r="AC312" i="1"/>
  <c r="AD312" i="1"/>
  <c r="AE312" i="1"/>
  <c r="AF312" i="1"/>
  <c r="AG312" i="1"/>
  <c r="AH312" i="1"/>
  <c r="AA427" i="1"/>
  <c r="AB427" i="1"/>
  <c r="AC427" i="1"/>
  <c r="AB334" i="1"/>
  <c r="AB335" i="1"/>
  <c r="AB336" i="1"/>
  <c r="AB337" i="1"/>
  <c r="AB338" i="1"/>
  <c r="AB339" i="1"/>
  <c r="AB340" i="1"/>
  <c r="AB341" i="1"/>
  <c r="AD347" i="1"/>
  <c r="AD351" i="1"/>
  <c r="AD352" i="1"/>
  <c r="AH370" i="1"/>
  <c r="AA370" i="1" s="1"/>
  <c r="AH386" i="1"/>
  <c r="AA386" i="1" s="1"/>
  <c r="AH387" i="1"/>
  <c r="AA387" i="1" s="1"/>
  <c r="AH392" i="1"/>
  <c r="AA392" i="1" s="1"/>
  <c r="O47" i="4"/>
  <c r="Q248" i="1"/>
  <c r="N260" i="1"/>
  <c r="AF341" i="1" s="1"/>
  <c r="N261" i="1"/>
  <c r="AG341" i="1" s="1"/>
  <c r="Q260" i="1"/>
  <c r="Q254" i="1"/>
  <c r="N255" i="1"/>
  <c r="AG340" i="1" s="1"/>
  <c r="N254" i="1"/>
  <c r="AF340" i="1" s="1"/>
  <c r="N249" i="1"/>
  <c r="AG339" i="1" s="1"/>
  <c r="N248" i="1"/>
  <c r="AF339" i="1" s="1"/>
  <c r="N242" i="1"/>
  <c r="AF338" i="1" s="1"/>
  <c r="Q242" i="1"/>
  <c r="N243" i="1"/>
  <c r="AG338" i="1" s="1"/>
  <c r="Q236" i="1"/>
  <c r="Q230" i="1"/>
  <c r="M263" i="1"/>
  <c r="M257" i="1"/>
  <c r="M251" i="1"/>
  <c r="M245" i="1"/>
  <c r="M239" i="1"/>
  <c r="M233" i="1"/>
  <c r="N15" i="6"/>
  <c r="L23" i="6"/>
  <c r="B89" i="8"/>
  <c r="B92" i="8" s="1"/>
  <c r="AE379" i="1"/>
  <c r="M199" i="1"/>
  <c r="AD379" i="1"/>
  <c r="K13" i="5"/>
  <c r="L9" i="8"/>
  <c r="F26" i="8"/>
  <c r="G18" i="23"/>
  <c r="F9" i="23"/>
  <c r="I13" i="5"/>
  <c r="E27" i="5"/>
  <c r="K8" i="5"/>
  <c r="C18" i="32"/>
  <c r="AD370" i="1"/>
  <c r="F11" i="23"/>
  <c r="AC370" i="1"/>
  <c r="Q62" i="1"/>
  <c r="C54" i="30"/>
  <c r="C49" i="29"/>
  <c r="C70" i="28"/>
  <c r="C62" i="27"/>
  <c r="Q59" i="1"/>
  <c r="C23" i="30"/>
  <c r="C18" i="29"/>
  <c r="C23" i="28"/>
  <c r="C19" i="27"/>
  <c r="K10" i="5"/>
  <c r="F10" i="23"/>
  <c r="B141" i="15"/>
  <c r="C71" i="29"/>
  <c r="C76" i="30"/>
  <c r="C81" i="28"/>
  <c r="C71" i="27"/>
  <c r="C79" i="28"/>
  <c r="C73" i="27"/>
  <c r="U118" i="5"/>
  <c r="B82" i="16"/>
  <c r="A82" i="16"/>
  <c r="C101" i="28"/>
  <c r="C93" i="27"/>
  <c r="V48" i="4"/>
  <c r="Q274" i="1"/>
  <c r="Q276" i="1"/>
  <c r="Q275" i="1"/>
  <c r="L40" i="4"/>
  <c r="H18" i="9"/>
  <c r="K18" i="9"/>
  <c r="B12" i="15" s="1"/>
  <c r="AE391" i="1"/>
  <c r="AD387" i="1"/>
  <c r="O3" i="20"/>
  <c r="O3" i="18"/>
  <c r="I3" i="20"/>
  <c r="I3" i="18"/>
  <c r="V45" i="4"/>
  <c r="L4" i="8"/>
  <c r="I3" i="17"/>
  <c r="AB378" i="1"/>
  <c r="V46" i="4"/>
  <c r="O46" i="4"/>
  <c r="O3" i="3"/>
  <c r="O3" i="17"/>
  <c r="AK323" i="1"/>
  <c r="AO323" i="1" s="1"/>
  <c r="O48" i="4"/>
  <c r="O42" i="4"/>
  <c r="V42" i="4"/>
  <c r="V49" i="4"/>
  <c r="V47" i="4"/>
  <c r="V43" i="4"/>
  <c r="E18" i="9"/>
  <c r="O43" i="4"/>
  <c r="V44" i="4"/>
  <c r="O45" i="4"/>
  <c r="O49" i="4"/>
  <c r="O44" i="4"/>
  <c r="E56" i="3"/>
  <c r="B94" i="13"/>
  <c r="A94" i="13"/>
  <c r="B79" i="16"/>
  <c r="A79" i="16"/>
  <c r="B94" i="15"/>
  <c r="V24" i="4"/>
  <c r="V26" i="4"/>
  <c r="O15" i="4"/>
  <c r="V23" i="4"/>
  <c r="V19" i="4"/>
  <c r="O22" i="4"/>
  <c r="O18" i="4"/>
  <c r="O23" i="4"/>
  <c r="O17" i="4"/>
  <c r="O19" i="4"/>
  <c r="O16" i="4"/>
  <c r="O26" i="4"/>
  <c r="V18" i="4"/>
  <c r="O25" i="4"/>
  <c r="O24" i="4"/>
  <c r="O20" i="4"/>
  <c r="V16" i="4"/>
  <c r="O21" i="4"/>
  <c r="V25" i="4"/>
  <c r="V20" i="4"/>
  <c r="V15" i="4"/>
  <c r="AK322" i="1"/>
  <c r="AO322" i="1" s="1"/>
  <c r="V22" i="4"/>
  <c r="V21" i="4"/>
  <c r="V17" i="4"/>
  <c r="AD390" i="1"/>
  <c r="AC378" i="1"/>
  <c r="Q38" i="1"/>
  <c r="F8" i="23"/>
  <c r="L5" i="8"/>
  <c r="H13" i="4"/>
  <c r="I3" i="3"/>
  <c r="L13" i="4"/>
  <c r="B141" i="13"/>
  <c r="A141" i="13"/>
  <c r="B131" i="15"/>
  <c r="B131" i="13"/>
  <c r="A131" i="13"/>
  <c r="H22" i="9"/>
  <c r="E16" i="9"/>
  <c r="Q224" i="1"/>
  <c r="L8" i="8"/>
  <c r="D23" i="8"/>
  <c r="G27" i="5"/>
  <c r="S27" i="5"/>
  <c r="F23" i="8"/>
  <c r="M80" i="3"/>
  <c r="K38" i="5"/>
  <c r="L7" i="8"/>
  <c r="F14" i="8"/>
  <c r="G24" i="5"/>
  <c r="M53" i="3"/>
  <c r="G46" i="5"/>
  <c r="L10" i="8"/>
  <c r="Q218" i="1"/>
  <c r="M227" i="1"/>
  <c r="D26" i="8"/>
  <c r="H26" i="8"/>
  <c r="F17" i="8"/>
  <c r="M221" i="1"/>
  <c r="A88" i="13"/>
  <c r="J26" i="8"/>
  <c r="V26" i="8"/>
  <c r="J29" i="8"/>
  <c r="C17" i="32"/>
  <c r="C17" i="29"/>
  <c r="C22" i="30"/>
  <c r="B17" i="16"/>
  <c r="A17" i="16"/>
  <c r="C22" i="28"/>
  <c r="C18" i="27"/>
  <c r="B16" i="15"/>
  <c r="I32" i="8"/>
  <c r="B16" i="13"/>
  <c r="A16" i="13"/>
  <c r="I182" i="5"/>
  <c r="E182" i="5"/>
  <c r="C61" i="29"/>
  <c r="C63" i="29"/>
  <c r="C66" i="30"/>
  <c r="C68" i="30"/>
  <c r="C62" i="29"/>
  <c r="C64" i="29"/>
  <c r="C67" i="30"/>
  <c r="C69" i="30"/>
  <c r="C59" i="28"/>
  <c r="C61" i="28"/>
  <c r="C51" i="27"/>
  <c r="C53" i="27"/>
  <c r="C60" i="28"/>
  <c r="C62" i="28"/>
  <c r="C52" i="27"/>
  <c r="C54" i="27"/>
  <c r="D29" i="23"/>
  <c r="D30" i="23"/>
  <c r="D7" i="8"/>
  <c r="F26" i="23"/>
  <c r="E11" i="5"/>
  <c r="D9" i="8"/>
  <c r="E8" i="5"/>
  <c r="E42" i="1"/>
  <c r="E6" i="5"/>
  <c r="I23" i="31"/>
  <c r="A23" i="31"/>
  <c r="D6" i="8"/>
  <c r="E9" i="5"/>
  <c r="E10" i="5"/>
  <c r="E45" i="1"/>
  <c r="E10" i="3"/>
  <c r="E9" i="3"/>
  <c r="F25" i="23"/>
  <c r="E7" i="3"/>
  <c r="E8" i="3"/>
  <c r="E43" i="1"/>
  <c r="E7" i="5"/>
  <c r="D5" i="8"/>
  <c r="E6" i="3"/>
  <c r="F27" i="23"/>
  <c r="D4" i="8"/>
  <c r="E5" i="5"/>
  <c r="F24" i="23"/>
  <c r="AK320" i="1" l="1"/>
  <c r="AO320" i="1" s="1"/>
  <c r="AJ320" i="1"/>
  <c r="AN320" i="1" s="1"/>
  <c r="AC389" i="1"/>
  <c r="AK319" i="1"/>
  <c r="AO319" i="1" s="1"/>
  <c r="AC391" i="1"/>
  <c r="AH323" i="1"/>
  <c r="Q55" i="1"/>
  <c r="AJ315" i="1"/>
  <c r="AN315" i="1" s="1"/>
  <c r="I10" i="5"/>
  <c r="Q82" i="1"/>
  <c r="AA413" i="1"/>
  <c r="AB413" i="1" s="1"/>
  <c r="AC413" i="1" s="1"/>
  <c r="AD413" i="1" s="1"/>
  <c r="AK318" i="1"/>
  <c r="AO318" i="1" s="1"/>
  <c r="AD392" i="1"/>
  <c r="AE389" i="1"/>
  <c r="AG315" i="1"/>
  <c r="AF315" i="1"/>
  <c r="AF379" i="1"/>
  <c r="AH372" i="1"/>
  <c r="AA372" i="1" s="1"/>
  <c r="AB371" i="1"/>
  <c r="AA416" i="1"/>
  <c r="AB416" i="1" s="1"/>
  <c r="AD371" i="1"/>
  <c r="Q93" i="1"/>
  <c r="AH373" i="1"/>
  <c r="AA373" i="1" s="1"/>
  <c r="AJ321" i="1"/>
  <c r="AN321" i="1" s="1"/>
  <c r="AJ318" i="1"/>
  <c r="AN318" i="1" s="1"/>
  <c r="AJ323" i="1"/>
  <c r="AN323" i="1" s="1"/>
  <c r="AH385" i="1"/>
  <c r="AA385" i="1" s="1"/>
  <c r="P42" i="4"/>
  <c r="AJ385" i="1" s="1"/>
  <c r="AG389" i="1" s="1"/>
  <c r="B152" i="10"/>
  <c r="AH389" i="1"/>
  <c r="AF381" i="1"/>
  <c r="Q85" i="1"/>
  <c r="Q106" i="1"/>
  <c r="Q99" i="1"/>
  <c r="Q114" i="1"/>
  <c r="Q65" i="1"/>
  <c r="Q83" i="1"/>
  <c r="AJ322" i="1"/>
  <c r="AN322" i="1" s="1"/>
  <c r="AD391" i="1"/>
  <c r="AD386" i="1"/>
  <c r="AK331" i="1"/>
  <c r="AO331" i="1" s="1"/>
  <c r="AJ317" i="1"/>
  <c r="AN317" i="1" s="1"/>
  <c r="Q161" i="1"/>
  <c r="AC392" i="1"/>
  <c r="AB391" i="1"/>
  <c r="B192" i="10"/>
  <c r="AB390" i="1"/>
  <c r="AI320" i="1"/>
  <c r="AB320" i="1" s="1"/>
  <c r="B134" i="10"/>
  <c r="Q147" i="1"/>
  <c r="AH314" i="1"/>
  <c r="AF380" i="1"/>
  <c r="Q105" i="1"/>
  <c r="Q90" i="1"/>
  <c r="Q91" i="1"/>
  <c r="Q92" i="1"/>
  <c r="AH374" i="1"/>
  <c r="AA374" i="1" s="1"/>
  <c r="AA414" i="1"/>
  <c r="AB414" i="1" s="1"/>
  <c r="AA415" i="1"/>
  <c r="AB415" i="1" s="1"/>
  <c r="AA417" i="1"/>
  <c r="AB417" i="1" s="1"/>
  <c r="Q98" i="1"/>
  <c r="AA419" i="1"/>
  <c r="AB419" i="1" s="1"/>
  <c r="Q89" i="1"/>
  <c r="AF370" i="1"/>
  <c r="AH376" i="1"/>
  <c r="AA376" i="1" s="1"/>
  <c r="Q103" i="1"/>
  <c r="AJ319" i="1"/>
  <c r="AN319" i="1" s="1"/>
  <c r="AD388" i="1"/>
  <c r="AE387" i="1"/>
  <c r="B86" i="10"/>
  <c r="Q123" i="1"/>
  <c r="Q144" i="1"/>
  <c r="AI322" i="1"/>
  <c r="AA434" i="1" s="1"/>
  <c r="AB440" i="1" s="1"/>
  <c r="AC440" i="1" s="1"/>
  <c r="AI319" i="1"/>
  <c r="AA431" i="1" s="1"/>
  <c r="AB434" i="1" s="1"/>
  <c r="AC434" i="1" s="1"/>
  <c r="AB388" i="1"/>
  <c r="AB315" i="1"/>
  <c r="Q77" i="1"/>
  <c r="B36" i="10"/>
  <c r="B28" i="10"/>
  <c r="Q76" i="1"/>
  <c r="Q97" i="1"/>
  <c r="Q79" i="1"/>
  <c r="Q68" i="1"/>
  <c r="Q107" i="1"/>
  <c r="AE371" i="1"/>
  <c r="AN326" i="1"/>
  <c r="AE385" i="1"/>
  <c r="Q160" i="1"/>
  <c r="Q131" i="1"/>
  <c r="AI330" i="1"/>
  <c r="AB330" i="1" s="1"/>
  <c r="B126" i="10"/>
  <c r="AN327" i="1"/>
  <c r="AH390" i="1"/>
  <c r="AA390" i="1" s="1"/>
  <c r="Q154" i="1"/>
  <c r="AH388" i="1"/>
  <c r="AA388" i="1" s="1"/>
  <c r="P47" i="4"/>
  <c r="AF378" i="1"/>
  <c r="AF377" i="1"/>
  <c r="AE375" i="1"/>
  <c r="AC373" i="1"/>
  <c r="AF373" i="1" s="1"/>
  <c r="AF375" i="1"/>
  <c r="AF374" i="1"/>
  <c r="AF376" i="1"/>
  <c r="Q70" i="1"/>
  <c r="AC371" i="1"/>
  <c r="AF372" i="1"/>
  <c r="Q110" i="1"/>
  <c r="AA420" i="1"/>
  <c r="AB420" i="1" s="1"/>
  <c r="B60" i="10"/>
  <c r="AA418" i="1"/>
  <c r="AB418" i="1" s="1"/>
  <c r="Q86" i="1"/>
  <c r="Q104" i="1"/>
  <c r="B76" i="10"/>
  <c r="AH375" i="1"/>
  <c r="AA375" i="1" s="1"/>
  <c r="Q78" i="1"/>
  <c r="Q112" i="1"/>
  <c r="AA435" i="1"/>
  <c r="AB442" i="1" s="1"/>
  <c r="AC442" i="1" s="1"/>
  <c r="AO330" i="1"/>
  <c r="AO328" i="1"/>
  <c r="AD385" i="1"/>
  <c r="AN331" i="1"/>
  <c r="AN329" i="1"/>
  <c r="AB329" i="1"/>
  <c r="AA441" i="1"/>
  <c r="AB439" i="1" s="1"/>
  <c r="AC439" i="1" s="1"/>
  <c r="AA329" i="1"/>
  <c r="Q139" i="1"/>
  <c r="B142" i="10"/>
  <c r="AO327" i="1"/>
  <c r="P46" i="4"/>
  <c r="AB387" i="1"/>
  <c r="B118" i="10"/>
  <c r="Q152" i="1"/>
  <c r="Q178" i="1"/>
  <c r="AI327" i="1"/>
  <c r="AG327" i="1" s="1"/>
  <c r="AC315" i="1"/>
  <c r="AC314" i="1"/>
  <c r="B97" i="8"/>
  <c r="B94" i="8"/>
  <c r="AC329" i="1"/>
  <c r="AH329" i="1"/>
  <c r="AG329" i="1"/>
  <c r="AF329" i="1"/>
  <c r="AD329" i="1"/>
  <c r="AG323" i="1"/>
  <c r="AK321" i="1"/>
  <c r="AO321" i="1" s="1"/>
  <c r="AE388" i="1"/>
  <c r="AJ328" i="1"/>
  <c r="AN328" i="1" s="1"/>
  <c r="AO326" i="1"/>
  <c r="AN330" i="1"/>
  <c r="AK325" i="1"/>
  <c r="AO325" i="1" s="1"/>
  <c r="AK329" i="1"/>
  <c r="AO329" i="1" s="1"/>
  <c r="AN325" i="1"/>
  <c r="AJ316" i="1"/>
  <c r="AN316" i="1" s="1"/>
  <c r="AK317" i="1"/>
  <c r="AO317" i="1" s="1"/>
  <c r="AK316" i="1"/>
  <c r="AO316" i="1" s="1"/>
  <c r="AN324" i="1"/>
  <c r="AO324" i="1"/>
  <c r="AB385" i="1"/>
  <c r="AB328" i="1"/>
  <c r="AG328" i="1"/>
  <c r="AH328" i="1"/>
  <c r="AA440" i="1"/>
  <c r="AB437" i="1" s="1"/>
  <c r="AC437" i="1" s="1"/>
  <c r="AD326" i="1"/>
  <c r="AB326" i="1"/>
  <c r="AC326" i="1"/>
  <c r="AF326" i="1"/>
  <c r="AA438" i="1"/>
  <c r="AB433" i="1" s="1"/>
  <c r="AC433" i="1" s="1"/>
  <c r="AG326" i="1"/>
  <c r="AH326" i="1"/>
  <c r="AD321" i="1"/>
  <c r="AB321" i="1"/>
  <c r="AA433" i="1"/>
  <c r="AB438" i="1" s="1"/>
  <c r="AC438" i="1" s="1"/>
  <c r="AC321" i="1"/>
  <c r="AE321" i="1"/>
  <c r="AF321" i="1"/>
  <c r="AH321" i="1"/>
  <c r="AH317" i="1"/>
  <c r="AB317" i="1"/>
  <c r="AA429" i="1"/>
  <c r="AB430" i="1" s="1"/>
  <c r="AC430" i="1" s="1"/>
  <c r="AD317" i="1"/>
  <c r="AG317" i="1"/>
  <c r="AA436" i="1"/>
  <c r="AB429" i="1" s="1"/>
  <c r="AC429" i="1" s="1"/>
  <c r="AG324" i="1"/>
  <c r="AB324" i="1"/>
  <c r="AH324" i="1"/>
  <c r="AE324" i="1"/>
  <c r="AF324" i="1"/>
  <c r="AB325" i="1"/>
  <c r="AA437" i="1"/>
  <c r="AB431" i="1" s="1"/>
  <c r="AC431" i="1" s="1"/>
  <c r="AG325" i="1"/>
  <c r="AH325" i="1"/>
  <c r="Q128" i="1"/>
  <c r="Q137" i="1"/>
  <c r="AE323" i="1"/>
  <c r="AA389" i="1"/>
  <c r="P45" i="4"/>
  <c r="AB323" i="1"/>
  <c r="AI318" i="1"/>
  <c r="AC318" i="1" s="1"/>
  <c r="AB386" i="1"/>
  <c r="AI331" i="1"/>
  <c r="AA331" i="1" s="1"/>
  <c r="B94" i="10"/>
  <c r="AC390" i="1"/>
  <c r="AD325" i="1"/>
  <c r="AF323" i="1"/>
  <c r="P43" i="4"/>
  <c r="Q121" i="1"/>
  <c r="Q168" i="1"/>
  <c r="AC317" i="1"/>
  <c r="AI316" i="1"/>
  <c r="AE316" i="1" s="1"/>
  <c r="AH391" i="1"/>
  <c r="AA326" i="1"/>
  <c r="AA317" i="1"/>
  <c r="AA338" i="1"/>
  <c r="AA337" i="1"/>
  <c r="AA315" i="1"/>
  <c r="AA321" i="1"/>
  <c r="AA334" i="1"/>
  <c r="AA336" i="1"/>
  <c r="AA341" i="1"/>
  <c r="AA340" i="1"/>
  <c r="AA339" i="1"/>
  <c r="AA335" i="1"/>
  <c r="AD324" i="1"/>
  <c r="AF328" i="1"/>
  <c r="AF325" i="1"/>
  <c r="AD323" i="1"/>
  <c r="AC324" i="1"/>
  <c r="AE328" i="1"/>
  <c r="AE325" i="1"/>
  <c r="AC323" i="1"/>
  <c r="AA324" i="1"/>
  <c r="AD315" i="1"/>
  <c r="AD328" i="1"/>
  <c r="AC328" i="1"/>
  <c r="AC325" i="1"/>
  <c r="AA323" i="1"/>
  <c r="AF317" i="1"/>
  <c r="AE314" i="1"/>
  <c r="AE329" i="1"/>
  <c r="AA328" i="1"/>
  <c r="AE326" i="1"/>
  <c r="AA325" i="1"/>
  <c r="AG321" i="1"/>
  <c r="AE317" i="1"/>
  <c r="B12" i="13"/>
  <c r="A12" i="13" s="1"/>
  <c r="C84" i="27"/>
  <c r="C92" i="28"/>
  <c r="F22" i="9"/>
  <c r="K22" i="9" s="1"/>
  <c r="F21" i="9"/>
  <c r="K26" i="9"/>
  <c r="G89" i="3"/>
  <c r="K87" i="3"/>
  <c r="E94" i="3" s="1"/>
  <c r="E89" i="3"/>
  <c r="E83" i="3"/>
  <c r="I26" i="3"/>
  <c r="P14" i="8"/>
  <c r="J14" i="8"/>
  <c r="P23" i="8"/>
  <c r="J23" i="8"/>
  <c r="I27" i="5"/>
  <c r="M27" i="5" s="1"/>
  <c r="E64" i="3"/>
  <c r="I109" i="5"/>
  <c r="M170" i="5"/>
  <c r="O80" i="3"/>
  <c r="M129" i="5"/>
  <c r="O120" i="5"/>
  <c r="G64" i="3"/>
  <c r="O53" i="3"/>
  <c r="O46" i="5"/>
  <c r="I24" i="5"/>
  <c r="G92" i="3"/>
  <c r="C247" i="5"/>
  <c r="E10" i="18"/>
  <c r="E247" i="5"/>
  <c r="C162" i="5"/>
  <c r="E162" i="5"/>
  <c r="E10" i="17"/>
  <c r="E243" i="5"/>
  <c r="G224" i="5"/>
  <c r="E155" i="5"/>
  <c r="C243" i="5"/>
  <c r="C155" i="5"/>
  <c r="E10" i="20"/>
  <c r="G7" i="3"/>
  <c r="M35" i="3"/>
  <c r="I155" i="5"/>
  <c r="I162" i="5"/>
  <c r="I247" i="5"/>
  <c r="I243" i="5"/>
  <c r="G42" i="1"/>
  <c r="AA365" i="1"/>
  <c r="H23" i="8"/>
  <c r="L26" i="8"/>
  <c r="P26" i="8" s="1"/>
  <c r="L17" i="8"/>
  <c r="H14" i="8"/>
  <c r="K32" i="20"/>
  <c r="C13" i="32"/>
  <c r="C18" i="30"/>
  <c r="E8" i="20"/>
  <c r="C11" i="32"/>
  <c r="C16" i="30"/>
  <c r="E8" i="18"/>
  <c r="C13" i="29"/>
  <c r="C11" i="29"/>
  <c r="E6" i="9"/>
  <c r="C15" i="28"/>
  <c r="C16" i="28"/>
  <c r="C11" i="27"/>
  <c r="C12" i="27"/>
  <c r="B12" i="16"/>
  <c r="A12" i="16" s="1"/>
  <c r="E8" i="17"/>
  <c r="AC362" i="1"/>
  <c r="AC363" i="1"/>
  <c r="AC365" i="1"/>
  <c r="E6" i="20"/>
  <c r="E6" i="18"/>
  <c r="E6" i="17"/>
  <c r="O35" i="5"/>
  <c r="Q35" i="5" s="1"/>
  <c r="I76" i="5"/>
  <c r="O27" i="5"/>
  <c r="O24" i="5"/>
  <c r="I79" i="5"/>
  <c r="K79" i="5" s="1"/>
  <c r="G49" i="5"/>
  <c r="O33" i="5"/>
  <c r="Q33" i="5" s="1"/>
  <c r="S170" i="5"/>
  <c r="M66" i="5"/>
  <c r="O66" i="5" s="1"/>
  <c r="E9" i="17"/>
  <c r="I97" i="5"/>
  <c r="S247" i="5"/>
  <c r="M64" i="5"/>
  <c r="O64" i="5" s="1"/>
  <c r="K146" i="5"/>
  <c r="G69" i="5"/>
  <c r="Q120" i="5"/>
  <c r="O247" i="5"/>
  <c r="M61" i="5"/>
  <c r="Q162" i="5"/>
  <c r="G55" i="5"/>
  <c r="I55" i="5" s="1"/>
  <c r="S129" i="5"/>
  <c r="O243" i="5"/>
  <c r="M238" i="5"/>
  <c r="E9" i="20"/>
  <c r="O155" i="5"/>
  <c r="G53" i="5"/>
  <c r="I53" i="5" s="1"/>
  <c r="I238" i="5"/>
  <c r="E9" i="18"/>
  <c r="M97" i="5"/>
  <c r="S155" i="5"/>
  <c r="M162" i="5"/>
  <c r="I81" i="5"/>
  <c r="K81" i="5" s="1"/>
  <c r="AD365" i="1"/>
  <c r="AD363" i="1"/>
  <c r="C13" i="28"/>
  <c r="C9" i="27"/>
  <c r="E7" i="20"/>
  <c r="G7" i="20" s="1"/>
  <c r="E7" i="18"/>
  <c r="G7" i="18" s="1"/>
  <c r="C9" i="32"/>
  <c r="C9" i="30"/>
  <c r="E7" i="17"/>
  <c r="G7" i="17" s="1"/>
  <c r="C9" i="29"/>
  <c r="G213" i="3"/>
  <c r="K206" i="3"/>
  <c r="K180" i="3"/>
  <c r="K196" i="3"/>
  <c r="E128" i="3"/>
  <c r="Z348" i="3"/>
  <c r="D8" i="8"/>
  <c r="AC414" i="1" l="1"/>
  <c r="AD414" i="1" s="1"/>
  <c r="AA314" i="5" s="1"/>
  <c r="AH322" i="1"/>
  <c r="E75" i="5"/>
  <c r="K120" i="5" s="1"/>
  <c r="AD319" i="1"/>
  <c r="K53" i="3"/>
  <c r="I56" i="3" s="1"/>
  <c r="K56" i="3" s="1"/>
  <c r="S56" i="3" s="1"/>
  <c r="S102" i="3" s="1"/>
  <c r="E46" i="5"/>
  <c r="L6" i="8"/>
  <c r="E24" i="5"/>
  <c r="K80" i="3"/>
  <c r="I83" i="3"/>
  <c r="K83" i="3" s="1"/>
  <c r="S83" i="3" s="1"/>
  <c r="E92" i="3"/>
  <c r="K92" i="3" s="1"/>
  <c r="I94" i="3" s="1"/>
  <c r="K94" i="3" s="1"/>
  <c r="S95" i="3" s="1"/>
  <c r="M24" i="5"/>
  <c r="G238" i="5" s="1"/>
  <c r="K238" i="5" s="1"/>
  <c r="Q238" i="5" s="1"/>
  <c r="AF371" i="1"/>
  <c r="AG380" i="1" s="1"/>
  <c r="AG392" i="1"/>
  <c r="AE322" i="1"/>
  <c r="AC415" i="1"/>
  <c r="AD415" i="1" s="1"/>
  <c r="P17" i="4" s="1"/>
  <c r="AA327" i="1"/>
  <c r="AG386" i="1"/>
  <c r="AG385" i="1"/>
  <c r="AG387" i="1"/>
  <c r="AE319" i="1"/>
  <c r="AC416" i="1"/>
  <c r="AD416" i="1" s="1"/>
  <c r="AA316" i="5" s="1"/>
  <c r="AC417" i="1"/>
  <c r="AD417" i="1" s="1"/>
  <c r="P19" i="4" s="1"/>
  <c r="AA320" i="1"/>
  <c r="AC320" i="1"/>
  <c r="AG320" i="1"/>
  <c r="AH320" i="1"/>
  <c r="AA432" i="1"/>
  <c r="AB436" i="1" s="1"/>
  <c r="AC436" i="1" s="1"/>
  <c r="AE320" i="1"/>
  <c r="AF320" i="1"/>
  <c r="AD320" i="1"/>
  <c r="AA322" i="1"/>
  <c r="AD322" i="1"/>
  <c r="AF322" i="1"/>
  <c r="AD330" i="1"/>
  <c r="AE330" i="1"/>
  <c r="AA330" i="1"/>
  <c r="AA442" i="1"/>
  <c r="AB441" i="1" s="1"/>
  <c r="AC441" i="1" s="1"/>
  <c r="AB322" i="1"/>
  <c r="AF330" i="1"/>
  <c r="AG330" i="1"/>
  <c r="AC330" i="1"/>
  <c r="AH330" i="1"/>
  <c r="AC419" i="1"/>
  <c r="AD419" i="1" s="1"/>
  <c r="P21" i="4" s="1"/>
  <c r="AC322" i="1"/>
  <c r="AG322" i="1"/>
  <c r="I120" i="5"/>
  <c r="G120" i="5"/>
  <c r="AB319" i="1"/>
  <c r="AF319" i="1"/>
  <c r="AC319" i="1"/>
  <c r="M120" i="5"/>
  <c r="AA319" i="1"/>
  <c r="AG319" i="1"/>
  <c r="AH319" i="1"/>
  <c r="AE327" i="1"/>
  <c r="AG390" i="1"/>
  <c r="AA439" i="1"/>
  <c r="AB435" i="1" s="1"/>
  <c r="AC435" i="1" s="1"/>
  <c r="U77" i="5"/>
  <c r="AF327" i="1"/>
  <c r="AG388" i="1"/>
  <c r="AH327" i="1"/>
  <c r="AC423" i="1"/>
  <c r="AD423" i="1" s="1"/>
  <c r="P25" i="4" s="1"/>
  <c r="P15" i="4"/>
  <c r="AA313" i="5"/>
  <c r="AC424" i="1"/>
  <c r="AD424" i="1" s="1"/>
  <c r="AC421" i="1"/>
  <c r="AD421" i="1" s="1"/>
  <c r="AC420" i="1"/>
  <c r="AD420" i="1" s="1"/>
  <c r="AC422" i="1"/>
  <c r="AD422" i="1" s="1"/>
  <c r="AC418" i="1"/>
  <c r="AD418" i="1" s="1"/>
  <c r="AF331" i="1"/>
  <c r="AD331" i="1"/>
  <c r="AB327" i="1"/>
  <c r="AD327" i="1"/>
  <c r="AC331" i="1"/>
  <c r="AC327" i="1"/>
  <c r="C111" i="28"/>
  <c r="C105" i="27"/>
  <c r="AE331" i="1"/>
  <c r="AH316" i="1"/>
  <c r="AD316" i="1"/>
  <c r="AA316" i="1"/>
  <c r="AB316" i="1"/>
  <c r="AA428" i="1"/>
  <c r="AB428" i="1" s="1"/>
  <c r="AC428" i="1" s="1"/>
  <c r="AF316" i="1"/>
  <c r="AG316" i="1"/>
  <c r="AG318" i="1"/>
  <c r="AC316" i="1"/>
  <c r="AG391" i="1"/>
  <c r="AA391" i="1"/>
  <c r="AB318" i="1"/>
  <c r="AD318" i="1"/>
  <c r="AE318" i="1"/>
  <c r="AF318" i="1"/>
  <c r="AH318" i="1"/>
  <c r="AA430" i="1"/>
  <c r="AB432" i="1" s="1"/>
  <c r="AC432" i="1" s="1"/>
  <c r="AA318" i="1"/>
  <c r="AA443" i="1"/>
  <c r="AB443" i="1" s="1"/>
  <c r="AC443" i="1" s="1"/>
  <c r="AB331" i="1"/>
  <c r="AG331" i="1"/>
  <c r="AH331" i="1"/>
  <c r="AM334" i="1"/>
  <c r="AJ334" i="1"/>
  <c r="AL334" i="1"/>
  <c r="AI334" i="1"/>
  <c r="AK334" i="1"/>
  <c r="AN334" i="1"/>
  <c r="B150" i="15"/>
  <c r="C78" i="27"/>
  <c r="B150" i="13"/>
  <c r="A150" i="13" s="1"/>
  <c r="C86" i="28"/>
  <c r="H34" i="9"/>
  <c r="K34" i="9" s="1"/>
  <c r="H31" i="9"/>
  <c r="K31" i="9" s="1"/>
  <c r="H35" i="9"/>
  <c r="K35" i="9" s="1"/>
  <c r="K21" i="9"/>
  <c r="H25" i="9"/>
  <c r="K25" i="9" s="1"/>
  <c r="H32" i="9"/>
  <c r="K32" i="9" s="1"/>
  <c r="H40" i="9"/>
  <c r="J40" i="9" s="1"/>
  <c r="H30" i="9"/>
  <c r="K30" i="9" s="1"/>
  <c r="H24" i="9"/>
  <c r="K24" i="9" s="1"/>
  <c r="H33" i="9"/>
  <c r="K33" i="9" s="1"/>
  <c r="C85" i="27"/>
  <c r="C93" i="28"/>
  <c r="Q27" i="5"/>
  <c r="K64" i="3"/>
  <c r="I66" i="3" s="1"/>
  <c r="K66" i="3" s="1"/>
  <c r="S67" i="3" s="1"/>
  <c r="S104" i="3" s="1"/>
  <c r="B45" i="8"/>
  <c r="N17" i="8"/>
  <c r="R17" i="8"/>
  <c r="R26" i="8"/>
  <c r="T26" i="8" s="1"/>
  <c r="N26" i="8"/>
  <c r="G17" i="23"/>
  <c r="I32" i="20"/>
  <c r="M32" i="20" s="1"/>
  <c r="S116" i="3"/>
  <c r="E69" i="5" s="1"/>
  <c r="I69" i="5" s="1"/>
  <c r="O69" i="5" s="1"/>
  <c r="P117" i="3"/>
  <c r="I34" i="17"/>
  <c r="I107" i="17"/>
  <c r="I49" i="17"/>
  <c r="I111" i="17"/>
  <c r="S176" i="3"/>
  <c r="C12" i="30" s="1"/>
  <c r="S180" i="3"/>
  <c r="C29" i="28" s="1"/>
  <c r="I52" i="20"/>
  <c r="I23" i="20"/>
  <c r="J224" i="5"/>
  <c r="U229" i="5" s="1"/>
  <c r="S222" i="5"/>
  <c r="AF365" i="1"/>
  <c r="AE365" i="1"/>
  <c r="AF363" i="1"/>
  <c r="AE363" i="1"/>
  <c r="G39" i="18"/>
  <c r="I31" i="18"/>
  <c r="M31" i="18" s="1"/>
  <c r="O33" i="18" s="1"/>
  <c r="S33" i="18" s="1"/>
  <c r="K65" i="18"/>
  <c r="M65" i="18" s="1"/>
  <c r="O67" i="18" s="1"/>
  <c r="S67" i="18" s="1"/>
  <c r="I225" i="3"/>
  <c r="K98" i="17"/>
  <c r="M98" i="17" s="1"/>
  <c r="O97" i="17" s="1"/>
  <c r="Q97" i="17" s="1"/>
  <c r="K54" i="17"/>
  <c r="M54" i="17" s="1"/>
  <c r="K104" i="17"/>
  <c r="M104" i="17" s="1"/>
  <c r="O106" i="17" s="1"/>
  <c r="Q106" i="17" s="1"/>
  <c r="K52" i="20"/>
  <c r="K107" i="17"/>
  <c r="K34" i="17"/>
  <c r="N14" i="6"/>
  <c r="I213" i="3"/>
  <c r="K213" i="3" s="1"/>
  <c r="B7" i="13"/>
  <c r="K56" i="18"/>
  <c r="M56" i="18" s="1"/>
  <c r="K116" i="17"/>
  <c r="M116" i="17" s="1"/>
  <c r="K37" i="17"/>
  <c r="M37" i="17" s="1"/>
  <c r="B10" i="16"/>
  <c r="A10" i="16" s="1"/>
  <c r="K137" i="3"/>
  <c r="K73" i="18"/>
  <c r="K111" i="17"/>
  <c r="K134" i="3"/>
  <c r="K150" i="3"/>
  <c r="O150" i="3" s="1"/>
  <c r="Q150" i="3" s="1"/>
  <c r="I245" i="3"/>
  <c r="M243" i="3" s="1"/>
  <c r="O243" i="3" s="1"/>
  <c r="N14" i="24"/>
  <c r="I216" i="3"/>
  <c r="K216" i="3" s="1"/>
  <c r="K222" i="3" s="1"/>
  <c r="S221" i="3" s="1"/>
  <c r="I64" i="17"/>
  <c r="M64" i="17" s="1"/>
  <c r="O64" i="17" s="1"/>
  <c r="K153" i="3"/>
  <c r="O153" i="3" s="1"/>
  <c r="Q153" i="3" s="1"/>
  <c r="K44" i="17"/>
  <c r="K26" i="20"/>
  <c r="M26" i="20" s="1"/>
  <c r="K23" i="20"/>
  <c r="I219" i="3"/>
  <c r="M219" i="3" s="1"/>
  <c r="K53" i="18"/>
  <c r="K49" i="17"/>
  <c r="K83" i="17"/>
  <c r="M83" i="17" s="1"/>
  <c r="K73" i="17"/>
  <c r="M73" i="17" s="1"/>
  <c r="N14" i="8"/>
  <c r="T14" i="8" s="1"/>
  <c r="G134" i="3"/>
  <c r="G137" i="3"/>
  <c r="S196" i="3"/>
  <c r="C30" i="28" s="1"/>
  <c r="S195" i="3"/>
  <c r="S204" i="3"/>
  <c r="S205" i="3"/>
  <c r="C31" i="28" s="1"/>
  <c r="G16" i="9"/>
  <c r="H16" i="9"/>
  <c r="K16" i="9" s="1"/>
  <c r="N23" i="8"/>
  <c r="T23" i="8" s="1"/>
  <c r="L23" i="8"/>
  <c r="R23" i="8" s="1"/>
  <c r="K36" i="18"/>
  <c r="K39" i="18"/>
  <c r="AE362" i="1"/>
  <c r="AF362" i="1"/>
  <c r="O162" i="5"/>
  <c r="U162" i="5" s="1"/>
  <c r="I53" i="18"/>
  <c r="I73" i="18"/>
  <c r="U121" i="5" l="1"/>
  <c r="E76" i="5"/>
  <c r="U76" i="5" s="1"/>
  <c r="AG373" i="1"/>
  <c r="AG371" i="1"/>
  <c r="AG370" i="1"/>
  <c r="E16" i="5" s="1"/>
  <c r="Q14" i="5" s="1"/>
  <c r="O16" i="5" s="1"/>
  <c r="AG372" i="1"/>
  <c r="AG377" i="1"/>
  <c r="P16" i="4"/>
  <c r="AG376" i="1"/>
  <c r="AG375" i="1"/>
  <c r="AG378" i="1"/>
  <c r="AG381" i="1"/>
  <c r="AG374" i="1"/>
  <c r="AG379" i="1"/>
  <c r="Q24" i="5"/>
  <c r="O30" i="5" s="1"/>
  <c r="Q30" i="5" s="1"/>
  <c r="O39" i="5" s="1"/>
  <c r="S39" i="5" s="1"/>
  <c r="B51" i="16" s="1"/>
  <c r="A51" i="16" s="1"/>
  <c r="G61" i="5"/>
  <c r="K61" i="5" s="1"/>
  <c r="O61" i="5" s="1"/>
  <c r="U62" i="5" s="1"/>
  <c r="D14" i="8"/>
  <c r="L14" i="8" s="1"/>
  <c r="R14" i="8" s="1"/>
  <c r="D17" i="8"/>
  <c r="G97" i="5"/>
  <c r="K97" i="5" s="1"/>
  <c r="O97" i="5" s="1"/>
  <c r="U97" i="5" s="1"/>
  <c r="S24" i="5"/>
  <c r="G109" i="5"/>
  <c r="AA315" i="5"/>
  <c r="AA317" i="5"/>
  <c r="P18" i="4"/>
  <c r="AA319" i="5"/>
  <c r="U120" i="5"/>
  <c r="AA323" i="5"/>
  <c r="P26" i="4"/>
  <c r="AA324" i="5"/>
  <c r="P23" i="4"/>
  <c r="AA321" i="5"/>
  <c r="P20" i="4"/>
  <c r="AA318" i="5"/>
  <c r="AA322" i="5"/>
  <c r="P24" i="4"/>
  <c r="E14" i="5"/>
  <c r="S9" i="5" s="1"/>
  <c r="E145" i="5"/>
  <c r="AA320" i="5"/>
  <c r="P22" i="4"/>
  <c r="K129" i="5"/>
  <c r="K170" i="5"/>
  <c r="E129" i="5"/>
  <c r="E170" i="5"/>
  <c r="G170" i="5"/>
  <c r="G129" i="5"/>
  <c r="C172" i="5"/>
  <c r="C131" i="5"/>
  <c r="I170" i="5"/>
  <c r="I129" i="5"/>
  <c r="C91" i="27"/>
  <c r="C99" i="28"/>
  <c r="C95" i="28"/>
  <c r="B165" i="13"/>
  <c r="A165" i="13" s="1"/>
  <c r="C87" i="27"/>
  <c r="B165" i="15"/>
  <c r="C92" i="27"/>
  <c r="C100" i="28"/>
  <c r="C96" i="28"/>
  <c r="C88" i="27"/>
  <c r="B166" i="13"/>
  <c r="A166" i="13" s="1"/>
  <c r="B166" i="15"/>
  <c r="H43" i="9"/>
  <c r="H44" i="9"/>
  <c r="K46" i="9"/>
  <c r="C97" i="28"/>
  <c r="B167" i="13"/>
  <c r="A167" i="13" s="1"/>
  <c r="B167" i="15"/>
  <c r="C89" i="27"/>
  <c r="B151" i="13"/>
  <c r="A151" i="13" s="1"/>
  <c r="C79" i="27"/>
  <c r="B151" i="15"/>
  <c r="C87" i="28"/>
  <c r="C82" i="27"/>
  <c r="C90" i="28"/>
  <c r="B154" i="15"/>
  <c r="B154" i="13"/>
  <c r="A154" i="13" s="1"/>
  <c r="B168" i="13"/>
  <c r="A168" i="13" s="1"/>
  <c r="B168" i="15"/>
  <c r="C90" i="27"/>
  <c r="C98" i="28"/>
  <c r="B152" i="15"/>
  <c r="C88" i="28"/>
  <c r="B152" i="13"/>
  <c r="A152" i="13" s="1"/>
  <c r="C80" i="27"/>
  <c r="M73" i="18"/>
  <c r="O74" i="18" s="1"/>
  <c r="S76" i="18" s="1"/>
  <c r="M53" i="18"/>
  <c r="O58" i="18" s="1"/>
  <c r="S58" i="18" s="1"/>
  <c r="M39" i="18"/>
  <c r="O41" i="18" s="1"/>
  <c r="S41" i="18" s="1"/>
  <c r="M111" i="17"/>
  <c r="O114" i="17" s="1"/>
  <c r="K119" i="17" s="1"/>
  <c r="M49" i="17"/>
  <c r="O52" i="17" s="1"/>
  <c r="Q52" i="17" s="1"/>
  <c r="O134" i="3"/>
  <c r="Q134" i="3" s="1"/>
  <c r="M23" i="20"/>
  <c r="K29" i="20" s="1"/>
  <c r="S29" i="20" s="1"/>
  <c r="C44" i="29" s="1"/>
  <c r="M52" i="20"/>
  <c r="K55" i="20" s="1"/>
  <c r="S55" i="20" s="1"/>
  <c r="C67" i="28" s="1"/>
  <c r="O23" i="24"/>
  <c r="R23" i="24" s="1"/>
  <c r="O29" i="24"/>
  <c r="R29" i="24" s="1"/>
  <c r="O20" i="24"/>
  <c r="R20" i="24" s="1"/>
  <c r="K248" i="3"/>
  <c r="K249" i="3"/>
  <c r="S247" i="3" s="1"/>
  <c r="C103" i="27" s="1"/>
  <c r="C14" i="30"/>
  <c r="V204" i="3"/>
  <c r="C13" i="30"/>
  <c r="V195" i="3"/>
  <c r="M107" i="17"/>
  <c r="M34" i="17"/>
  <c r="O36" i="17" s="1"/>
  <c r="Q36" i="17" s="1"/>
  <c r="D29" i="8"/>
  <c r="G32" i="8"/>
  <c r="O23" i="6"/>
  <c r="R23" i="6" s="1"/>
  <c r="O29" i="6"/>
  <c r="R29" i="6" s="1"/>
  <c r="O20" i="6"/>
  <c r="R20" i="6" s="1"/>
  <c r="O137" i="3"/>
  <c r="Q137" i="3" s="1"/>
  <c r="K157" i="3" s="1"/>
  <c r="AJ365" i="1"/>
  <c r="AI365" i="1"/>
  <c r="K67" i="17"/>
  <c r="K68" i="17"/>
  <c r="B10" i="13"/>
  <c r="A10" i="13" s="1"/>
  <c r="B10" i="15"/>
  <c r="C106" i="28"/>
  <c r="C98" i="27"/>
  <c r="S36" i="20"/>
  <c r="S34" i="20"/>
  <c r="B109" i="16"/>
  <c r="A109" i="16" s="1"/>
  <c r="C66" i="32"/>
  <c r="C66" i="29"/>
  <c r="C71" i="30"/>
  <c r="I36" i="18"/>
  <c r="M36" i="18" s="1"/>
  <c r="S37" i="18" s="1"/>
  <c r="C103" i="28"/>
  <c r="C95" i="27"/>
  <c r="C50" i="32"/>
  <c r="C50" i="29"/>
  <c r="B80" i="16"/>
  <c r="A80" i="16" s="1"/>
  <c r="C55" i="30"/>
  <c r="C71" i="28"/>
  <c r="C63" i="27"/>
  <c r="B95" i="15"/>
  <c r="B95" i="13"/>
  <c r="A95" i="13" s="1"/>
  <c r="B93" i="15"/>
  <c r="G225" i="3"/>
  <c r="M225" i="3" s="1"/>
  <c r="N225" i="3" s="1"/>
  <c r="F14" i="26"/>
  <c r="F14" i="14"/>
  <c r="S222" i="3"/>
  <c r="C48" i="32"/>
  <c r="C69" i="28"/>
  <c r="C48" i="29"/>
  <c r="C61" i="27"/>
  <c r="B78" i="16"/>
  <c r="A78" i="16" s="1"/>
  <c r="B93" i="13"/>
  <c r="A93" i="13" s="1"/>
  <c r="C53" i="30"/>
  <c r="M44" i="17"/>
  <c r="O44" i="17" s="1"/>
  <c r="Q44" i="17" s="1"/>
  <c r="C59" i="32"/>
  <c r="C60" i="32"/>
  <c r="F13" i="23"/>
  <c r="B75" i="15"/>
  <c r="C60" i="29"/>
  <c r="B75" i="13"/>
  <c r="A75" i="13" s="1"/>
  <c r="C59" i="29"/>
  <c r="B74" i="13"/>
  <c r="A74" i="13" s="1"/>
  <c r="I29" i="23"/>
  <c r="I28" i="23"/>
  <c r="B100" i="16"/>
  <c r="A100" i="16" s="1"/>
  <c r="C64" i="30"/>
  <c r="C57" i="28"/>
  <c r="I30" i="23"/>
  <c r="C58" i="28"/>
  <c r="B99" i="16"/>
  <c r="A99" i="16" s="1"/>
  <c r="C65" i="30"/>
  <c r="C49" i="27"/>
  <c r="C50" i="27"/>
  <c r="B74" i="15"/>
  <c r="AI362" i="1"/>
  <c r="AJ362" i="1"/>
  <c r="AJ363" i="1"/>
  <c r="AI363" i="1"/>
  <c r="O13" i="5" l="1"/>
  <c r="M46" i="5" s="1"/>
  <c r="M13" i="5"/>
  <c r="K46" i="5" s="1"/>
  <c r="S46" i="5" s="1"/>
  <c r="U50" i="5" s="1"/>
  <c r="Q17" i="5"/>
  <c r="M16" i="5"/>
  <c r="B51" i="13"/>
  <c r="A51" i="13" s="1"/>
  <c r="D57" i="8"/>
  <c r="H57" i="8" s="1"/>
  <c r="C30" i="27" s="1"/>
  <c r="B41" i="15"/>
  <c r="B41" i="13"/>
  <c r="A41" i="13" s="1"/>
  <c r="D51" i="8"/>
  <c r="H51" i="8" s="1"/>
  <c r="C32" i="28" s="1"/>
  <c r="B46" i="16"/>
  <c r="A46" i="16" s="1"/>
  <c r="B51" i="15"/>
  <c r="J17" i="8"/>
  <c r="V17" i="8" s="1"/>
  <c r="J20" i="8" s="1"/>
  <c r="H17" i="8"/>
  <c r="P17" i="8" s="1"/>
  <c r="T17" i="8" s="1"/>
  <c r="O140" i="5"/>
  <c r="S140" i="5" s="1"/>
  <c r="B45" i="13" s="1"/>
  <c r="A45" i="13" s="1"/>
  <c r="U241" i="5"/>
  <c r="Q254" i="5" s="1"/>
  <c r="U254" i="5" s="1"/>
  <c r="Q61" i="5"/>
  <c r="U63" i="5" s="1"/>
  <c r="U156" i="5"/>
  <c r="M243" i="5"/>
  <c r="Q243" i="5" s="1"/>
  <c r="S240" i="5" s="1"/>
  <c r="U240" i="5" s="1"/>
  <c r="O254" i="5" s="1"/>
  <c r="S254" i="5" s="1"/>
  <c r="B48" i="16" s="1"/>
  <c r="A48" i="16" s="1"/>
  <c r="S30" i="5"/>
  <c r="Q39" i="5" s="1"/>
  <c r="U39" i="5" s="1"/>
  <c r="Q97" i="5"/>
  <c r="U98" i="5" s="1"/>
  <c r="M247" i="5"/>
  <c r="Q247" i="5" s="1"/>
  <c r="U247" i="5" s="1"/>
  <c r="Q69" i="5"/>
  <c r="M155" i="5"/>
  <c r="Q155" i="5" s="1"/>
  <c r="U155" i="5" s="1"/>
  <c r="U248" i="5"/>
  <c r="U147" i="5"/>
  <c r="Q187" i="5" s="1"/>
  <c r="U187" i="5" s="1"/>
  <c r="E146" i="5"/>
  <c r="U146" i="5" s="1"/>
  <c r="M8" i="5"/>
  <c r="O11" i="5"/>
  <c r="M11" i="5"/>
  <c r="O8" i="5"/>
  <c r="U130" i="5"/>
  <c r="U171" i="5"/>
  <c r="Q170" i="5"/>
  <c r="U170" i="5" s="1"/>
  <c r="Q129" i="5"/>
  <c r="U129" i="5" s="1"/>
  <c r="Q114" i="17"/>
  <c r="C69" i="32"/>
  <c r="C74" i="30"/>
  <c r="C69" i="29"/>
  <c r="B115" i="16"/>
  <c r="A115" i="16" s="1"/>
  <c r="C113" i="28"/>
  <c r="C107" i="27"/>
  <c r="S73" i="18"/>
  <c r="B85" i="16" s="1"/>
  <c r="A85" i="16" s="1"/>
  <c r="B73" i="16"/>
  <c r="A73" i="16" s="1"/>
  <c r="B82" i="15"/>
  <c r="C44" i="32"/>
  <c r="B82" i="13"/>
  <c r="A82" i="13" s="1"/>
  <c r="B80" i="15"/>
  <c r="S44" i="18"/>
  <c r="C94" i="27" s="1"/>
  <c r="Q45" i="17"/>
  <c r="C55" i="27"/>
  <c r="C49" i="30"/>
  <c r="F10" i="26"/>
  <c r="B80" i="13"/>
  <c r="A80" i="13" s="1"/>
  <c r="F16" i="23"/>
  <c r="F10" i="14"/>
  <c r="C59" i="27"/>
  <c r="C63" i="28"/>
  <c r="F18" i="23"/>
  <c r="H18" i="23" s="1"/>
  <c r="B71" i="16"/>
  <c r="A71" i="16" s="1"/>
  <c r="K56" i="17"/>
  <c r="K57" i="17"/>
  <c r="S57" i="17" s="1"/>
  <c r="C54" i="32"/>
  <c r="B91" i="16"/>
  <c r="A91" i="16" s="1"/>
  <c r="S61" i="18"/>
  <c r="C59" i="30"/>
  <c r="C54" i="29"/>
  <c r="U27" i="6"/>
  <c r="O26" i="6"/>
  <c r="AA26" i="6" s="1"/>
  <c r="S69" i="17"/>
  <c r="S68" i="17"/>
  <c r="B95" i="16" s="1"/>
  <c r="A95" i="16" s="1"/>
  <c r="U33" i="6"/>
  <c r="O32" i="6"/>
  <c r="AA32" i="6" s="1"/>
  <c r="B15" i="13"/>
  <c r="A15" i="13" s="1"/>
  <c r="C21" i="30"/>
  <c r="B16" i="16"/>
  <c r="A16" i="16" s="1"/>
  <c r="C21" i="28"/>
  <c r="C17" i="27"/>
  <c r="B15" i="15"/>
  <c r="C16" i="29"/>
  <c r="C16" i="32"/>
  <c r="S120" i="17"/>
  <c r="S119" i="17"/>
  <c r="B110" i="16"/>
  <c r="A110" i="16" s="1"/>
  <c r="C72" i="30"/>
  <c r="C67" i="29"/>
  <c r="C67" i="32"/>
  <c r="C58" i="30"/>
  <c r="B105" i="15"/>
  <c r="C53" i="32"/>
  <c r="B105" i="13"/>
  <c r="A105" i="13" s="1"/>
  <c r="C73" i="28"/>
  <c r="C65" i="27"/>
  <c r="C53" i="29"/>
  <c r="C75" i="30"/>
  <c r="C70" i="32"/>
  <c r="B116" i="16"/>
  <c r="A116" i="16" s="1"/>
  <c r="C70" i="29"/>
  <c r="M157" i="3"/>
  <c r="M180" i="3"/>
  <c r="S157" i="3"/>
  <c r="C108" i="28"/>
  <c r="C100" i="27"/>
  <c r="F17" i="23"/>
  <c r="O26" i="24"/>
  <c r="AA26" i="24" s="1"/>
  <c r="U27" i="24"/>
  <c r="U33" i="24"/>
  <c r="O32" i="24"/>
  <c r="AA32" i="24" s="1"/>
  <c r="B108" i="16"/>
  <c r="A108" i="16" s="1"/>
  <c r="C65" i="32"/>
  <c r="C70" i="30"/>
  <c r="C65" i="29"/>
  <c r="C26" i="29" l="1"/>
  <c r="H66" i="8"/>
  <c r="B66" i="8"/>
  <c r="C38" i="28"/>
  <c r="C20" i="29"/>
  <c r="C31" i="30"/>
  <c r="J57" i="8"/>
  <c r="D66" i="8" s="1"/>
  <c r="F28" i="23"/>
  <c r="K28" i="23" s="1"/>
  <c r="Q46" i="5"/>
  <c r="E49" i="5" s="1"/>
  <c r="I49" i="5" s="1"/>
  <c r="U49" i="5" s="1"/>
  <c r="O89" i="5" s="1"/>
  <c r="S89" i="5" s="1"/>
  <c r="B52" i="15" s="1"/>
  <c r="C26" i="32"/>
  <c r="C20" i="32"/>
  <c r="C24" i="27"/>
  <c r="C25" i="30"/>
  <c r="J51" i="8"/>
  <c r="B45" i="15"/>
  <c r="B53" i="15"/>
  <c r="B55" i="13"/>
  <c r="A55" i="13" s="1"/>
  <c r="D53" i="8"/>
  <c r="H53" i="8" s="1"/>
  <c r="C27" i="30" s="1"/>
  <c r="D61" i="8"/>
  <c r="B70" i="8" s="1"/>
  <c r="D55" i="8"/>
  <c r="H55" i="8" s="1"/>
  <c r="J55" i="8" s="1"/>
  <c r="B53" i="13"/>
  <c r="A53" i="13" s="1"/>
  <c r="C182" i="5"/>
  <c r="K182" i="5" s="1"/>
  <c r="R182" i="5" s="1"/>
  <c r="F12" i="23"/>
  <c r="G182" i="5"/>
  <c r="M182" i="5" s="1"/>
  <c r="U182" i="5" s="1"/>
  <c r="B55" i="15"/>
  <c r="D59" i="8"/>
  <c r="H59" i="8" s="1"/>
  <c r="C28" i="32" s="1"/>
  <c r="B43" i="15"/>
  <c r="B53" i="16"/>
  <c r="A53" i="16" s="1"/>
  <c r="Q140" i="5"/>
  <c r="U140" i="5" s="1"/>
  <c r="D20" i="8"/>
  <c r="H33" i="8"/>
  <c r="O32" i="8" s="1"/>
  <c r="Q34" i="8" s="1"/>
  <c r="B43" i="13"/>
  <c r="A43" i="13" s="1"/>
  <c r="J33" i="8"/>
  <c r="Q32" i="8" s="1"/>
  <c r="B14" i="13"/>
  <c r="A14" i="13" s="1"/>
  <c r="C20" i="28"/>
  <c r="C16" i="27"/>
  <c r="B14" i="15"/>
  <c r="L51" i="8"/>
  <c r="F32" i="23"/>
  <c r="C15" i="32"/>
  <c r="B15" i="16"/>
  <c r="A15" i="16" s="1"/>
  <c r="C15" i="29"/>
  <c r="C20" i="30"/>
  <c r="L57" i="8"/>
  <c r="I165" i="5"/>
  <c r="K49" i="5"/>
  <c r="O187" i="5"/>
  <c r="S187" i="5" s="1"/>
  <c r="Q157" i="5"/>
  <c r="Q131" i="5"/>
  <c r="C102" i="28"/>
  <c r="S58" i="17"/>
  <c r="C45" i="29" s="1"/>
  <c r="C76" i="27"/>
  <c r="C84" i="28"/>
  <c r="H16" i="23"/>
  <c r="G16" i="23"/>
  <c r="C69" i="27"/>
  <c r="C77" i="28"/>
  <c r="B140" i="13"/>
  <c r="A140" i="13" s="1"/>
  <c r="B140" i="15"/>
  <c r="C80" i="28"/>
  <c r="C72" i="27"/>
  <c r="C58" i="32"/>
  <c r="C63" i="30"/>
  <c r="C58" i="29"/>
  <c r="F9" i="26"/>
  <c r="C24" i="29"/>
  <c r="C29" i="30"/>
  <c r="C24" i="32"/>
  <c r="F9" i="14"/>
  <c r="B50" i="16"/>
  <c r="A50" i="16" s="1"/>
  <c r="C68" i="28"/>
  <c r="B83" i="15"/>
  <c r="B83" i="13"/>
  <c r="A83" i="13" s="1"/>
  <c r="C60" i="27"/>
  <c r="C74" i="27"/>
  <c r="C82" i="28"/>
  <c r="C74" i="28"/>
  <c r="F13" i="26"/>
  <c r="F13" i="14"/>
  <c r="C55" i="29"/>
  <c r="C60" i="30"/>
  <c r="C66" i="27"/>
  <c r="C55" i="32"/>
  <c r="B111" i="13"/>
  <c r="A111" i="13" s="1"/>
  <c r="B111" i="15"/>
  <c r="G79" i="17"/>
  <c r="G87" i="17"/>
  <c r="G89" i="17" s="1"/>
  <c r="B130" i="15"/>
  <c r="B130" i="13"/>
  <c r="A130" i="13" s="1"/>
  <c r="C70" i="27"/>
  <c r="C78" i="28"/>
  <c r="C46" i="32"/>
  <c r="C51" i="30"/>
  <c r="C46" i="29"/>
  <c r="D52" i="8" l="1"/>
  <c r="H52" i="8" s="1"/>
  <c r="M91" i="5"/>
  <c r="M94" i="5"/>
  <c r="H28" i="23"/>
  <c r="Q89" i="5"/>
  <c r="U89" i="5" s="1"/>
  <c r="B52" i="13"/>
  <c r="A52" i="13" s="1"/>
  <c r="D58" i="8"/>
  <c r="H58" i="8" s="1"/>
  <c r="C27" i="32" s="1"/>
  <c r="B47" i="16"/>
  <c r="A47" i="16" s="1"/>
  <c r="B42" i="15"/>
  <c r="B52" i="16"/>
  <c r="A52" i="16" s="1"/>
  <c r="B42" i="13"/>
  <c r="A42" i="13" s="1"/>
  <c r="C28" i="27"/>
  <c r="C22" i="32"/>
  <c r="C26" i="27"/>
  <c r="H61" i="8"/>
  <c r="C42" i="28" s="1"/>
  <c r="J53" i="8"/>
  <c r="R53" i="8" s="1"/>
  <c r="O34" i="8"/>
  <c r="D40" i="8" s="1"/>
  <c r="P53" i="8"/>
  <c r="C36" i="28"/>
  <c r="C22" i="29"/>
  <c r="C34" i="28"/>
  <c r="N53" i="8"/>
  <c r="C40" i="28"/>
  <c r="P59" i="8"/>
  <c r="C33" i="30"/>
  <c r="C14" i="29"/>
  <c r="C15" i="27"/>
  <c r="B13" i="13"/>
  <c r="A13" i="13" s="1"/>
  <c r="A13" i="15"/>
  <c r="C14" i="32"/>
  <c r="B13" i="15"/>
  <c r="C19" i="28"/>
  <c r="S45" i="8"/>
  <c r="N52" i="8" s="1"/>
  <c r="C19" i="30"/>
  <c r="B14" i="16"/>
  <c r="A14" i="16" s="1"/>
  <c r="N59" i="8"/>
  <c r="L52" i="8"/>
  <c r="L55" i="8" s="1"/>
  <c r="L54" i="8"/>
  <c r="L53" i="8"/>
  <c r="C32" i="27"/>
  <c r="B68" i="8"/>
  <c r="C28" i="29"/>
  <c r="J59" i="8"/>
  <c r="D68" i="8" s="1"/>
  <c r="H68" i="8" s="1"/>
  <c r="F15" i="23"/>
  <c r="L165" i="5"/>
  <c r="F31" i="23"/>
  <c r="H31" i="23" s="1"/>
  <c r="L60" i="8"/>
  <c r="L59" i="8"/>
  <c r="L58" i="8"/>
  <c r="L61" i="8" s="1"/>
  <c r="C33" i="28"/>
  <c r="J52" i="8"/>
  <c r="C21" i="32"/>
  <c r="C21" i="29"/>
  <c r="C25" i="27"/>
  <c r="C26" i="30"/>
  <c r="F29" i="23"/>
  <c r="B54" i="16"/>
  <c r="A54" i="16" s="1"/>
  <c r="B49" i="16"/>
  <c r="A49" i="16" s="1"/>
  <c r="W190" i="5"/>
  <c r="B54" i="13"/>
  <c r="A54" i="13" s="1"/>
  <c r="BA275" i="5"/>
  <c r="BB275" i="5" s="1"/>
  <c r="D54" i="8"/>
  <c r="H54" i="8" s="1"/>
  <c r="BA276" i="5"/>
  <c r="B44" i="15"/>
  <c r="F14" i="23"/>
  <c r="H12" i="23" s="1"/>
  <c r="B54" i="15"/>
  <c r="D60" i="8"/>
  <c r="B44" i="13"/>
  <c r="A44" i="13" s="1"/>
  <c r="B81" i="15"/>
  <c r="B72" i="16"/>
  <c r="A72" i="16" s="1"/>
  <c r="C66" i="28"/>
  <c r="C50" i="30"/>
  <c r="C45" i="32"/>
  <c r="B81" i="13"/>
  <c r="A81" i="13" s="1"/>
  <c r="C58" i="27"/>
  <c r="F40" i="8"/>
  <c r="S74" i="17"/>
  <c r="S73" i="17"/>
  <c r="C32" i="30" l="1"/>
  <c r="C27" i="29"/>
  <c r="C39" i="28"/>
  <c r="C31" i="27"/>
  <c r="J58" i="8"/>
  <c r="D67" i="8" s="1"/>
  <c r="H67" i="8" s="1"/>
  <c r="B67" i="8"/>
  <c r="C34" i="27"/>
  <c r="D37" i="8"/>
  <c r="B57" i="16" s="1"/>
  <c r="A57" i="16" s="1"/>
  <c r="R59" i="8"/>
  <c r="J37" i="8"/>
  <c r="C43" i="30" s="1"/>
  <c r="J61" i="8"/>
  <c r="D70" i="8" s="1"/>
  <c r="H70" i="8" s="1"/>
  <c r="H72" i="8" s="1"/>
  <c r="A7" i="23"/>
  <c r="H14" i="23"/>
  <c r="N57" i="8"/>
  <c r="N55" i="8"/>
  <c r="N51" i="8"/>
  <c r="N58" i="8"/>
  <c r="N61" i="8"/>
  <c r="K29" i="23"/>
  <c r="H29" i="23"/>
  <c r="B69" i="8"/>
  <c r="H60" i="8"/>
  <c r="C35" i="28"/>
  <c r="F30" i="23"/>
  <c r="C23" i="29"/>
  <c r="J54" i="8"/>
  <c r="C28" i="30"/>
  <c r="C23" i="32"/>
  <c r="C27" i="27"/>
  <c r="N54" i="8"/>
  <c r="H40" i="8"/>
  <c r="R51" i="8" s="1"/>
  <c r="C57" i="32"/>
  <c r="C62" i="30"/>
  <c r="C76" i="28"/>
  <c r="C57" i="29"/>
  <c r="C68" i="27"/>
  <c r="J40" i="8"/>
  <c r="B61" i="15" l="1"/>
  <c r="C37" i="32"/>
  <c r="C51" i="28"/>
  <c r="C42" i="30"/>
  <c r="C43" i="27"/>
  <c r="C38" i="29"/>
  <c r="C37" i="29"/>
  <c r="B61" i="13"/>
  <c r="A61" i="13" s="1"/>
  <c r="B62" i="13"/>
  <c r="A62" i="13" s="1"/>
  <c r="B58" i="16"/>
  <c r="A58" i="16" s="1"/>
  <c r="C52" i="28"/>
  <c r="B62" i="15"/>
  <c r="C38" i="32"/>
  <c r="C44" i="27"/>
  <c r="H30" i="23"/>
  <c r="K30" i="23"/>
  <c r="C29" i="29"/>
  <c r="C41" i="28"/>
  <c r="C33" i="27"/>
  <c r="C34" i="30"/>
  <c r="C29" i="32"/>
  <c r="J60" i="8"/>
  <c r="D69" i="8" s="1"/>
  <c r="H69" i="8" s="1"/>
  <c r="N60" i="8"/>
  <c r="P58" i="8"/>
  <c r="P51" i="8"/>
  <c r="P57" i="8"/>
  <c r="P61" i="8"/>
  <c r="R54" i="8"/>
  <c r="P52" i="8"/>
  <c r="P60" i="8"/>
  <c r="P54" i="8"/>
  <c r="R55" i="8"/>
  <c r="P55" i="8"/>
  <c r="R61" i="8"/>
  <c r="R52" i="8"/>
  <c r="R58" i="8"/>
  <c r="R57" i="8"/>
  <c r="C27" i="28"/>
  <c r="J82" i="8"/>
  <c r="J81" i="8"/>
  <c r="D78" i="8"/>
  <c r="D79" i="8"/>
  <c r="J80" i="8"/>
  <c r="J79" i="8"/>
  <c r="J78" i="8"/>
  <c r="L80" i="8"/>
  <c r="L81" i="8"/>
  <c r="L79" i="8"/>
  <c r="C22" i="27"/>
  <c r="D80" i="8"/>
  <c r="L78" i="8"/>
  <c r="B21" i="15"/>
  <c r="D82" i="8"/>
  <c r="C30" i="32"/>
  <c r="L82" i="8"/>
  <c r="D81" i="8"/>
  <c r="C35" i="30"/>
  <c r="B21" i="13"/>
  <c r="A21" i="13" s="1"/>
  <c r="C30" i="29"/>
  <c r="R60" i="8" l="1"/>
  <c r="C36" i="32"/>
  <c r="C41" i="30"/>
  <c r="C48" i="28"/>
  <c r="C36" i="29"/>
  <c r="C40" i="27"/>
  <c r="C50" i="28"/>
  <c r="C42" i="27"/>
  <c r="C46" i="28"/>
  <c r="C34" i="29"/>
  <c r="C34" i="32"/>
  <c r="C39" i="30"/>
  <c r="C38" i="27"/>
  <c r="C40" i="30"/>
  <c r="C39" i="27"/>
  <c r="C47" i="28"/>
  <c r="C35" i="29"/>
  <c r="C35" i="32"/>
  <c r="C38" i="30"/>
  <c r="C33" i="29"/>
  <c r="C33" i="32"/>
  <c r="C45" i="28"/>
  <c r="C37" i="27"/>
  <c r="C41" i="27"/>
  <c r="C49" i="28"/>
  <c r="C43" i="28"/>
  <c r="C31" i="29"/>
  <c r="C36" i="30"/>
  <c r="C35" i="27"/>
  <c r="C31" i="32"/>
  <c r="C44" i="28"/>
  <c r="C32" i="29"/>
  <c r="C36" i="27"/>
  <c r="C37" i="30"/>
  <c r="C32"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 Pearce</author>
    <author>Beeravolu, Nagendrakumar</author>
    <author>Mittal, Lipika  .</author>
    <author>tc={F2A93285-E7E0-4699-801F-BA56B8AC0720}</author>
  </authors>
  <commentList>
    <comment ref="A30" authorId="0" shapeId="0" xr:uid="{00000000-0006-0000-0000-000001000000}">
      <text>
        <r>
          <rPr>
            <sz val="9"/>
            <color indexed="81"/>
            <rFont val="Tahoma"/>
            <family val="2"/>
          </rPr>
          <t xml:space="preserve">All distribution XFMRs between local CTs and remote station, including taps and remote station.
</t>
        </r>
      </text>
    </comment>
    <comment ref="O36" authorId="1" shapeId="0" xr:uid="{00000000-0006-0000-0000-000002000000}">
      <text>
        <r>
          <rPr>
            <b/>
            <sz val="9"/>
            <color indexed="81"/>
            <rFont val="Tahoma"/>
            <family val="2"/>
          </rPr>
          <t xml:space="preserve">TARP Mul factor should be atleast 100%
</t>
        </r>
        <r>
          <rPr>
            <sz val="9"/>
            <color indexed="81"/>
            <rFont val="Tahoma"/>
            <family val="2"/>
          </rPr>
          <t xml:space="preserve">
</t>
        </r>
      </text>
    </comment>
    <comment ref="O37" authorId="1" shapeId="0" xr:uid="{00000000-0006-0000-0000-000003000000}">
      <text>
        <r>
          <rPr>
            <b/>
            <sz val="9"/>
            <color indexed="81"/>
            <rFont val="Tahoma"/>
            <family val="2"/>
          </rPr>
          <t>TARP Mul factor should be atleast 100%</t>
        </r>
      </text>
    </comment>
    <comment ref="O38" authorId="1" shapeId="0" xr:uid="{00000000-0006-0000-0000-000004000000}">
      <text>
        <r>
          <rPr>
            <b/>
            <sz val="9"/>
            <color indexed="81"/>
            <rFont val="Tahoma"/>
            <family val="2"/>
          </rPr>
          <t>TARP Mul factor should be atleast 100%</t>
        </r>
      </text>
    </comment>
    <comment ref="A192" authorId="2" shapeId="0" xr:uid="{00000000-0006-0000-0000-000005000000}">
      <text>
        <r>
          <rPr>
            <sz val="9"/>
            <color indexed="81"/>
            <rFont val="Tahoma"/>
            <family val="2"/>
          </rPr>
          <t xml:space="preserve">Use R/X values in per unit if XFMR is modeled in Aspen per test report. Otheriwse use MVA/%Z
</t>
        </r>
      </text>
    </comment>
    <comment ref="AA342" authorId="3" shapeId="0" xr:uid="{F2A93285-E7E0-4699-801F-BA56B8AC0720}">
      <text>
        <t>[Threaded comment]
Your version of Excel allows you to read this threaded comment; however, any edits to it will get removed if the file is opened in a newer version of Excel. Learn more: https://go.microsoft.com/fwlink/?linkid=870924
Comment:
    Table for dropdown list E34 to select the Relay Loadability Criteria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tc={75EC43B7-972C-43B6-99DC-4E8DA66A32BC}</author>
    <author>tc={D053F761-FFE9-4425-AC85-C39A332AD898}</author>
  </authors>
  <commentList>
    <comment ref="K17" authorId="0" shapeId="0" xr:uid="{75EC43B7-972C-43B6-99DC-4E8DA66A32BC}">
      <text>
        <t>[Threaded comment]
Your version of Excel allows you to read this threaded comment; however, any edits to it will get removed if the file is opened in a newer version of Excel. Learn more: https://go.microsoft.com/fwlink/?linkid=870924
Comment:
    Need to reword this message</t>
      </text>
    </comment>
    <comment ref="K20" authorId="1" shapeId="0" xr:uid="{D053F761-FFE9-4425-AC85-C39A332AD898}">
      <text>
        <t>[Threaded comment]
Your version of Excel allows you to read this threaded comment; however, any edits to it will get removed if the file is opened in a newer version of Excel. Learn more: https://go.microsoft.com/fwlink/?linkid=870924
Comment:
    Contradicts the note on the left. The one on the right is the correct one.  It should be without infeed. Note. Without infeed.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Mike</author>
  </authors>
  <commentList>
    <comment ref="G42" authorId="0" shapeId="0" xr:uid="{00000000-0006-0000-0600-000001000000}">
      <text>
        <r>
          <rPr>
            <b/>
            <sz val="8"/>
            <color indexed="81"/>
            <rFont val="Tahoma"/>
            <family val="2"/>
          </rPr>
          <t>% can be variable. Needs to be verified by Aspen.</t>
        </r>
        <r>
          <rPr>
            <sz val="8"/>
            <color indexed="81"/>
            <rFont val="Tahoma"/>
            <family val="2"/>
          </rPr>
          <t xml:space="preserve">
</t>
        </r>
      </text>
    </comment>
    <comment ref="I46" authorId="0" shapeId="0" xr:uid="{00000000-0006-0000-0600-000002000000}">
      <text>
        <r>
          <rPr>
            <b/>
            <sz val="8"/>
            <color indexed="81"/>
            <rFont val="Tahoma"/>
            <family val="2"/>
          </rPr>
          <t>% can be variable.
Needs to be verified by Aspen.</t>
        </r>
      </text>
    </comment>
    <comment ref="A96" authorId="0" shapeId="0" xr:uid="{00000000-0006-0000-0600-000003000000}">
      <text>
        <r>
          <rPr>
            <b/>
            <sz val="8"/>
            <color indexed="81"/>
            <rFont val="Tahoma"/>
            <family val="2"/>
          </rPr>
          <t>Depends on breaker configuration (ring bus) and line length. Not needed for single breaker.</t>
        </r>
        <r>
          <rPr>
            <sz val="8"/>
            <color indexed="81"/>
            <rFont val="Tahoma"/>
            <family val="2"/>
          </rPr>
          <t xml:space="preserve">
</t>
        </r>
      </text>
    </comment>
    <comment ref="E97" authorId="0" shapeId="0" xr:uid="{00000000-0006-0000-0600-000004000000}">
      <text>
        <r>
          <rPr>
            <b/>
            <sz val="8"/>
            <color indexed="81"/>
            <rFont val="Tahoma"/>
            <family val="2"/>
          </rPr>
          <t>Depends on breaker configuration (ring bus) and line length. Not needed for single breaker.</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nbeerav</author>
    <author>tc={46274475-A3C0-44EE-8EDB-99EC3147D834}</author>
    <author>tc={C46AB73D-8321-4E2C-8DF0-76D5A9959A10}</author>
  </authors>
  <commentList>
    <comment ref="Q36" authorId="0" shapeId="0" xr:uid="{00000000-0006-0000-0800-000003000000}">
      <text>
        <r>
          <rPr>
            <b/>
            <sz val="8"/>
            <color indexed="81"/>
            <rFont val="Tahoma"/>
            <family val="2"/>
          </rPr>
          <t>Warning cell for Fault current less than 0.5</t>
        </r>
      </text>
    </comment>
    <comment ref="Q44" authorId="0" shapeId="0" xr:uid="{00000000-0006-0000-0800-000001000000}">
      <text>
        <r>
          <rPr>
            <b/>
            <sz val="8"/>
            <color indexed="81"/>
            <rFont val="Tahoma"/>
            <family val="2"/>
          </rPr>
          <t>Warning cell for Fault current less than 0.5</t>
        </r>
      </text>
    </comment>
    <comment ref="Q45" authorId="0" shapeId="0" xr:uid="{00000000-0006-0000-0800-000002000000}">
      <text>
        <r>
          <rPr>
            <b/>
            <sz val="8"/>
            <color indexed="81"/>
            <rFont val="Tahoma"/>
            <family val="2"/>
          </rPr>
          <t>Warning cell to indicate that the 80% fault current is less than line rating</t>
        </r>
      </text>
    </comment>
    <comment ref="Q52" authorId="0" shapeId="0" xr:uid="{00000000-0006-0000-0800-000004000000}">
      <text>
        <r>
          <rPr>
            <b/>
            <sz val="8"/>
            <color indexed="81"/>
            <rFont val="Tahoma"/>
            <family val="2"/>
          </rPr>
          <t>Warning cell for Fault current less than 0.5</t>
        </r>
      </text>
    </comment>
    <comment ref="Q97" authorId="0" shapeId="0" xr:uid="{00000000-0006-0000-0800-000006000000}">
      <text>
        <r>
          <rPr>
            <b/>
            <sz val="8"/>
            <color indexed="81"/>
            <rFont val="Tahoma"/>
            <family val="2"/>
          </rPr>
          <t>Warning cell for Fault current less than 0.5</t>
        </r>
      </text>
    </comment>
    <comment ref="Q106" authorId="0" shapeId="0" xr:uid="{00000000-0006-0000-0800-000005000000}">
      <text>
        <r>
          <rPr>
            <b/>
            <sz val="8"/>
            <color indexed="81"/>
            <rFont val="Tahoma"/>
            <family val="2"/>
          </rPr>
          <t>Warning cell for Fault current less than 0.5</t>
        </r>
      </text>
    </comment>
    <comment ref="G108" authorId="1" shapeId="0" xr:uid="{46274475-A3C0-44EE-8EDB-99EC3147D834}">
      <text>
        <t>[Threaded comment]
Your version of Excel allows you to read this threaded comment; however, any edits to it will get removed if the file is opened in a newer version of Excel. Learn more: https://go.microsoft.com/fwlink/?linkid=870924
Comment:
    changed from 40 to 25%</t>
      </text>
    </comment>
    <comment ref="G112" authorId="2" shapeId="0" xr:uid="{C46AB73D-8321-4E2C-8DF0-76D5A9959A10}">
      <text>
        <t>[Threaded comment]
Your version of Excel allows you to read this threaded comment; however, any edits to it will get removed if the file is opened in a newer version of Excel. Learn more: https://go.microsoft.com/fwlink/?linkid=870924
Comment:
    change margin to 25% when we have only distance relay no differential.
Reply:
    We will change to be default 25% no matter what relay we have.</t>
      </text>
    </comment>
    <comment ref="Q114" authorId="0" shapeId="0" xr:uid="{00000000-0006-0000-0800-000007000000}">
      <text>
        <r>
          <rPr>
            <b/>
            <sz val="8"/>
            <color indexed="81"/>
            <rFont val="Tahoma"/>
            <family val="2"/>
          </rPr>
          <t>Warning cell for Fault current less than 0.5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tc={CBE321F7-18D2-4918-8798-DCE78FA1EE1E}</author>
  </authors>
  <commentList>
    <comment ref="S58" authorId="0" shapeId="0" xr:uid="{CBE321F7-18D2-4918-8798-DCE78FA1EE1E}">
      <text>
        <t>[Threaded comment]
Your version of Excel allows you to read this threaded comment; however, any edits to it will get removed if the file is opened in a newer version of Excel. Learn more: https://go.microsoft.com/fwlink/?linkid=870924
Comment:
    Added logic to be max 16amps for 51pp</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Allen</author>
    <author>Chan Wong</author>
  </authors>
  <commentList>
    <comment ref="D2" authorId="0" shapeId="0" xr:uid="{00000000-0006-0000-1200-000001000000}">
      <text>
        <r>
          <rPr>
            <sz val="72"/>
            <color indexed="81"/>
            <rFont val="Calibri"/>
            <family val="2"/>
            <scheme val="minor"/>
          </rPr>
          <t xml:space="preserve">
This Requires Updating!</t>
        </r>
      </text>
    </comment>
    <comment ref="E42" authorId="1" shapeId="0" xr:uid="{00000000-0006-0000-1200-000002000000}">
      <text>
        <r>
          <rPr>
            <b/>
            <sz val="8"/>
            <color indexed="81"/>
            <rFont val="Tahoma"/>
            <family val="2"/>
          </rPr>
          <t>Chan Wong:</t>
        </r>
        <r>
          <rPr>
            <sz val="8"/>
            <color indexed="81"/>
            <rFont val="Tahoma"/>
            <family val="2"/>
          </rPr>
          <t xml:space="preserve">
there have two 50P3P one for each 421 and 311</t>
        </r>
      </text>
    </comment>
    <comment ref="F42" authorId="1" shapeId="0" xr:uid="{00000000-0006-0000-1200-000003000000}">
      <text>
        <r>
          <rPr>
            <b/>
            <sz val="8"/>
            <color indexed="81"/>
            <rFont val="Tahoma"/>
            <family val="2"/>
          </rPr>
          <t>Chan Wong:</t>
        </r>
        <r>
          <rPr>
            <sz val="8"/>
            <color indexed="81"/>
            <rFont val="Tahoma"/>
            <family val="2"/>
          </rPr>
          <t xml:space="preserve">
there have two 50P3P one for each 421 and 311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Allen</author>
    <author>Chan Wong</author>
  </authors>
  <commentList>
    <comment ref="D2" authorId="0" shapeId="0" xr:uid="{00000000-0006-0000-1700-000001000000}">
      <text>
        <r>
          <rPr>
            <sz val="72"/>
            <color indexed="81"/>
            <rFont val="Calibri"/>
            <family val="2"/>
            <scheme val="minor"/>
          </rPr>
          <t xml:space="preserve">
This Requires Updating!</t>
        </r>
      </text>
    </comment>
    <comment ref="E42" authorId="1" shapeId="0" xr:uid="{00000000-0006-0000-1700-000002000000}">
      <text>
        <r>
          <rPr>
            <b/>
            <sz val="8"/>
            <color indexed="81"/>
            <rFont val="Tahoma"/>
            <family val="2"/>
          </rPr>
          <t>Chan Wong:</t>
        </r>
        <r>
          <rPr>
            <sz val="8"/>
            <color indexed="81"/>
            <rFont val="Tahoma"/>
            <family val="2"/>
          </rPr>
          <t xml:space="preserve">
there have two 50P3P one for each 421 and 311</t>
        </r>
      </text>
    </comment>
    <comment ref="F42" authorId="1" shapeId="0" xr:uid="{00000000-0006-0000-1700-000003000000}">
      <text>
        <r>
          <rPr>
            <b/>
            <sz val="8"/>
            <color indexed="81"/>
            <rFont val="Tahoma"/>
            <family val="2"/>
          </rPr>
          <t>Chan Wong:</t>
        </r>
        <r>
          <rPr>
            <sz val="8"/>
            <color indexed="81"/>
            <rFont val="Tahoma"/>
            <family val="2"/>
          </rPr>
          <t xml:space="preserve">
there have two 50P3P one for each 421 and 311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<sst xmlns="http://schemas.openxmlformats.org/spreadsheetml/2006/main" count="8677" uniqueCount="3347">
  <si>
    <t>MAIN FORM (begin with this form)</t>
  </si>
  <si>
    <t>ZONE DISTANCE IMPEDANCE</t>
  </si>
  <si>
    <t>Fill-out the yellow fields only</t>
  </si>
  <si>
    <t>Date:</t>
  </si>
  <si>
    <t>Relay Location</t>
  </si>
  <si>
    <t>Line Number</t>
  </si>
  <si>
    <t>Remote Location</t>
  </si>
  <si>
    <t>By:</t>
  </si>
  <si>
    <t>Checked By:</t>
  </si>
  <si>
    <t>Legend:</t>
  </si>
  <si>
    <t>SDA AUTOMATION MENU</t>
  </si>
  <si>
    <t>Calc Sheet Version:</t>
  </si>
  <si>
    <t>1/31/2025-B</t>
  </si>
  <si>
    <t>Yellow fields should be filled in.</t>
  </si>
  <si>
    <t>Red Text</t>
  </si>
  <si>
    <t>This info is pulled from another sheet.</t>
  </si>
  <si>
    <t>Pink Text</t>
  </si>
  <si>
    <t>This info is notes.</t>
  </si>
  <si>
    <t>Blue Text</t>
  </si>
  <si>
    <t>This info is relay settings.</t>
  </si>
  <si>
    <t>Green Text</t>
  </si>
  <si>
    <t>This info comes from SDA Program</t>
  </si>
  <si>
    <t>White Text</t>
  </si>
  <si>
    <t>Red fields with white text indicate a conditional note or an error in data entry.</t>
  </si>
  <si>
    <t xml:space="preserve">All calculations should be documented in this file.  Any calculations needed in addition to provided space should be done on the "Notes &amp; Additional Calcs" tab. </t>
  </si>
  <si>
    <r>
      <t xml:space="preserve">General System Information - </t>
    </r>
    <r>
      <rPr>
        <sz val="12"/>
        <rFont val="Arial"/>
        <family val="2"/>
      </rPr>
      <t>Available in design package on system one-line</t>
    </r>
  </si>
  <si>
    <t>Setting</t>
  </si>
  <si>
    <t>Value</t>
  </si>
  <si>
    <t>Description</t>
  </si>
  <si>
    <t>Warning Message</t>
  </si>
  <si>
    <t xml:space="preserve">Noninal System Voltage: </t>
  </si>
  <si>
    <t xml:space="preserve"> kV</t>
  </si>
  <si>
    <t xml:space="preserve">Base Ohms: </t>
  </si>
  <si>
    <t>Based on 100MVA</t>
  </si>
  <si>
    <t>Breaker Rating</t>
  </si>
  <si>
    <t>Line Equipment Limit</t>
  </si>
  <si>
    <t xml:space="preserve"> A</t>
  </si>
  <si>
    <t>Minimum of the two local Breaker Ratings</t>
  </si>
  <si>
    <t>Conductor Rating from FR Workbook</t>
  </si>
  <si>
    <t>Rating of the conductor leaving the local station</t>
  </si>
  <si>
    <t xml:space="preserve">Loadability Limit: </t>
  </si>
  <si>
    <t xml:space="preserve">Line Limit: </t>
  </si>
  <si>
    <t>Minimum of local conductor leaving the local equipment limit used for overcurrent calcs</t>
  </si>
  <si>
    <t xml:space="preserve">W Winding CT SEL421/411L or CTR  SEL 311: </t>
  </si>
  <si>
    <t xml:space="preserve"> /5</t>
  </si>
  <si>
    <t>Provide explanation if max CT ratio is not used</t>
  </si>
  <si>
    <t xml:space="preserve">X Winding CT for SEL 421 and 411L: </t>
  </si>
  <si>
    <t>If X CT winding is not used then enter the same CT ratio as W winding</t>
  </si>
  <si>
    <t xml:space="preserve">PTR: </t>
  </si>
  <si>
    <t xml:space="preserve"> /1</t>
  </si>
  <si>
    <t>VY PT Ratio, see Ref 6 for standard ratios</t>
  </si>
  <si>
    <t xml:space="preserve">CTR / PTR: </t>
  </si>
  <si>
    <t xml:space="preserve">Number of Second Lines: </t>
  </si>
  <si>
    <t xml:space="preserve">Number of Taps: </t>
  </si>
  <si>
    <t>Include taps with lines and/or dist. transformers</t>
  </si>
  <si>
    <t xml:space="preserve">Number of Auto XFMRs at Remote Station: </t>
  </si>
  <si>
    <t xml:space="preserve">Number of Breakers (being controlled): </t>
  </si>
  <si>
    <t xml:space="preserve">Number of Distribution Transformers: </t>
  </si>
  <si>
    <t>Do not add or remove lines before running macro</t>
  </si>
  <si>
    <r>
      <t>Transmission/Generation Relay Loadability -</t>
    </r>
    <r>
      <rPr>
        <sz val="12"/>
        <rFont val="Arial"/>
        <family val="2"/>
      </rPr>
      <t xml:space="preserve"> Calculate Line loadability (Phase distance relays shall not limit loadability). See PRC-023-4, PRC-025-2 for additional information</t>
    </r>
  </si>
  <si>
    <t xml:space="preserve">Select the Relay Loadability Criteria </t>
  </si>
  <si>
    <t>PRC_023_4</t>
  </si>
  <si>
    <t xml:space="preserve">* select the applicable NERC loadability criteria, Load encroachment and Zone 3 calculations will only use the selected criteria. </t>
  </si>
  <si>
    <t>PRC-023-4 criteria [ref 1]</t>
  </si>
  <si>
    <t>TARP Mul Factor</t>
  </si>
  <si>
    <t>PRC023 Margin</t>
  </si>
  <si>
    <t>Margin if different</t>
  </si>
  <si>
    <t>Loadability limit</t>
  </si>
  <si>
    <t xml:space="preserve">Conductor Rating </t>
  </si>
  <si>
    <t>A</t>
  </si>
  <si>
    <t>Conductor line limit from Entergy Line Mileage Database</t>
  </si>
  <si>
    <t>Going forward PRC-023 will only use Conductor Limit</t>
  </si>
  <si>
    <t>R1.13 - Line Equipment Limit</t>
  </si>
  <si>
    <t>Line equipment limit from station one lines</t>
  </si>
  <si>
    <t>Select An Alternative PRC-023-3 Requirement</t>
  </si>
  <si>
    <t>Use if required on a per project basis, otherwise may be left blank</t>
  </si>
  <si>
    <t>* Please click on the drop down menu at cell A34 for the criteria selection</t>
  </si>
  <si>
    <t xml:space="preserve">* If the TARP adjustment is not needed then set it to 100% </t>
  </si>
  <si>
    <t>100% is the minimum percentage required in cells O32, O33, and O34</t>
  </si>
  <si>
    <t>PRC-025 criteria [ref 7] (If applies)</t>
  </si>
  <si>
    <t>MVA</t>
  </si>
  <si>
    <t>MW</t>
  </si>
  <si>
    <t>Real Power Margin for T1.14a</t>
  </si>
  <si>
    <t>It is recommended to use 15% margin for the real power limit, if need to change please contact the respective PRC-025 SME</t>
  </si>
  <si>
    <t>Mvar</t>
  </si>
  <si>
    <t>High side bus voltage by simulation</t>
  </si>
  <si>
    <t>pu</t>
  </si>
  <si>
    <t>Only needed if T1.14b method is used, corresponding voltage for the max Reac Power output on high side of GSU transf during field forcing.</t>
  </si>
  <si>
    <t>Select PRC-025 criteria</t>
  </si>
  <si>
    <t>Zsec Imp</t>
  </si>
  <si>
    <t>Current Limit Prim</t>
  </si>
  <si>
    <t>Trans ang</t>
  </si>
  <si>
    <t>PRC-025 Margin</t>
  </si>
  <si>
    <t>Ohms Sec</t>
  </si>
  <si>
    <t>Current</t>
  </si>
  <si>
    <t>Select PRC-025-Asynchronous Requirement</t>
  </si>
  <si>
    <t>This criteria only applies, if the line is subjected to PRC-025</t>
  </si>
  <si>
    <t>* Please click on the drop down menu at cell A50 for the criteria selection</t>
  </si>
  <si>
    <r>
      <t xml:space="preserve">Line Impedances -  </t>
    </r>
    <r>
      <rPr>
        <sz val="12"/>
        <rFont val="Arial"/>
        <family val="2"/>
      </rPr>
      <t xml:space="preserve">These Values are imported from Aspen Impedances Calculated On Aspen Impedances Tab </t>
    </r>
  </si>
  <si>
    <t>First Line Positive Sequence Resistance:</t>
  </si>
  <si>
    <t>% PU</t>
  </si>
  <si>
    <t>First Line Positive Sequence Reactance:</t>
  </si>
  <si>
    <t>First Line Zero Sequence Resistance:</t>
  </si>
  <si>
    <t>First Line Zero Sequence Reactance:</t>
  </si>
  <si>
    <t>Line Length:</t>
  </si>
  <si>
    <t>miles</t>
  </si>
  <si>
    <t>Second Line #1</t>
  </si>
  <si>
    <t>Second Line Positive Sequence Resistance:</t>
  </si>
  <si>
    <t>Second Line Positive Sequence Reactance:</t>
  </si>
  <si>
    <t>Second Line Zero Sequence Resistance:</t>
  </si>
  <si>
    <t>Second Line Zero Sequence Reactance:</t>
  </si>
  <si>
    <t>Second Line #2</t>
  </si>
  <si>
    <t>Second Line #3</t>
  </si>
  <si>
    <t>Second Line #4</t>
  </si>
  <si>
    <t>Second Line #5</t>
  </si>
  <si>
    <t>Second Line #6</t>
  </si>
  <si>
    <t>Second Line #7</t>
  </si>
  <si>
    <t>Second Line #8</t>
  </si>
  <si>
    <r>
      <t xml:space="preserve">Tapped Lines &amp; Transformers- </t>
    </r>
    <r>
      <rPr>
        <sz val="12"/>
        <rFont val="Arial"/>
        <family val="2"/>
      </rPr>
      <t xml:space="preserve">These Values are imported from Aspen Impedances Calculated On Aspen Impedances Tab </t>
    </r>
  </si>
  <si>
    <t>Tap #1:</t>
  </si>
  <si>
    <t>Impedance to tapped line is filled out on Aspen Impedances tab</t>
  </si>
  <si>
    <t>Station at end of Tap:</t>
  </si>
  <si>
    <t>Leave blank for taps with distribution transformer(s) and no line</t>
  </si>
  <si>
    <t>Tapped Line Positive Sequence Resistance:</t>
  </si>
  <si>
    <t>Tapped Line Positive Sequence Reactance:</t>
  </si>
  <si>
    <t>Tapped Line Zero Sequence Resistance:</t>
  </si>
  <si>
    <t>Tapped Line Zero Sequence Reactance:</t>
  </si>
  <si>
    <t>Tapped Line #2</t>
  </si>
  <si>
    <t>Tapped Line #3</t>
  </si>
  <si>
    <t>Tapped Line #4</t>
  </si>
  <si>
    <t>Tapped Line #5</t>
  </si>
  <si>
    <t>Tapped Line #6</t>
  </si>
  <si>
    <t>Tapped Line #7</t>
  </si>
  <si>
    <t>Tapped Line #8</t>
  </si>
  <si>
    <r>
      <t xml:space="preserve">Autotransformers - </t>
    </r>
    <r>
      <rPr>
        <sz val="12"/>
        <rFont val="Arial"/>
        <family val="2"/>
      </rPr>
      <t>Available in Line Mileage Database, Fill in Transformer Impedance R and X directly if available impedances are in rectangular coordinates</t>
    </r>
  </si>
  <si>
    <t>Note: The "Second Line Impedance" values are only necessary if Autotransformer is considered as shortest second lines and Z2 min reach is too short.  Second line impedance refers to the shortest line after the autotransformer.  Z2 considers only the autotransformer if "Second Line Impedance" is left blank and the autotransformer plus line if "Second Line Impedance" is filled in, the Z2 margin (typically 50%) is set on Zone Imp tab.  Total Z0 follows the same calculation where Z0 of transformer equals Z1 of transformer.</t>
  </si>
  <si>
    <t>XFMR Impedance %PU</t>
  </si>
  <si>
    <t>Second Line Impedance %PU</t>
  </si>
  <si>
    <t>Base MVA rating:</t>
  </si>
  <si>
    <t>Transformer Impedance Angle:</t>
  </si>
  <si>
    <t>degrees</t>
  </si>
  <si>
    <t>Autotransformer #1:</t>
  </si>
  <si>
    <t>How is impedance entered:</t>
  </si>
  <si>
    <t>R =</t>
  </si>
  <si>
    <t>R0=</t>
  </si>
  <si>
    <t>X =</t>
  </si>
  <si>
    <t>X0=</t>
  </si>
  <si>
    <t>Z total =</t>
  </si>
  <si>
    <t>Autotransformer #2:</t>
  </si>
  <si>
    <t>Autotransformer #3:</t>
  </si>
  <si>
    <t>Autotransformer #4:</t>
  </si>
  <si>
    <r>
      <t xml:space="preserve">Distribution Transformers - </t>
    </r>
    <r>
      <rPr>
        <sz val="12"/>
        <rFont val="Arial"/>
        <family val="2"/>
      </rPr>
      <t xml:space="preserve">Available in Line Mileage Database, Impedance to transformer automatically pulled from Aspen Impedances Tab </t>
    </r>
  </si>
  <si>
    <t>Transformer Impedance %PU</t>
  </si>
  <si>
    <t>Impedance to XFMR %PU</t>
  </si>
  <si>
    <t>Limit Reach into transformer</t>
  </si>
  <si>
    <t>Distribution Transformer #1</t>
  </si>
  <si>
    <t>Transformer Location (Substation):</t>
  </si>
  <si>
    <t>Distribution Transformer #2</t>
  </si>
  <si>
    <t>Distribution Transformer #3</t>
  </si>
  <si>
    <t>Distribution Transformer #4</t>
  </si>
  <si>
    <t>Distribution Transformer #5</t>
  </si>
  <si>
    <t>Distribution Transformer #6</t>
  </si>
  <si>
    <t>Distribution Transformer #7</t>
  </si>
  <si>
    <t>Distribution Transformer #8</t>
  </si>
  <si>
    <r>
      <t xml:space="preserve">Voltage Source Selection for Synchronization - </t>
    </r>
    <r>
      <rPr>
        <sz val="12"/>
        <rFont val="Arial"/>
        <family val="2"/>
      </rPr>
      <t>Available in AC schematics in design package</t>
    </r>
  </si>
  <si>
    <t>Three Phase Voltage</t>
  </si>
  <si>
    <t>VY (3Ø)</t>
  </si>
  <si>
    <t>Three Phase PT, can be from Line or Bus</t>
  </si>
  <si>
    <t>Sync Reference</t>
  </si>
  <si>
    <t>Single phase voltage from the line</t>
  </si>
  <si>
    <t>Sync Source #1</t>
  </si>
  <si>
    <t>Single phase voltage on Bus 1</t>
  </si>
  <si>
    <t>Sync Source #2</t>
  </si>
  <si>
    <t>Single phase voltage on Bus 2</t>
  </si>
  <si>
    <t>Hot Line Indication</t>
  </si>
  <si>
    <t>Typically same as Sync Reference if Breaker Control Std is used</t>
  </si>
  <si>
    <t>VAZ PT Ratio</t>
  </si>
  <si>
    <t>VBZ PT Ratio</t>
  </si>
  <si>
    <t>VCZ PT Ratio</t>
  </si>
  <si>
    <t>Remote End Line Ratings and Remote Relay Settings</t>
  </si>
  <si>
    <t>Notes</t>
  </si>
  <si>
    <t xml:space="preserve">Remote End Coductor Rating </t>
  </si>
  <si>
    <t xml:space="preserve">Remote Breaker Failure Relay CT ratio </t>
  </si>
  <si>
    <t>/1</t>
  </si>
  <si>
    <t>Enter Maximum CT Ratio for 411L Relay and W winding CT Ratio for 421 relay</t>
  </si>
  <si>
    <t>Remote Line Relay CT ratio</t>
  </si>
  <si>
    <t xml:space="preserve">Enter Remote End Line CT Ratio </t>
  </si>
  <si>
    <t>If the remote line relay does breaker control as well then this value should be same as remote breaker failure CTR</t>
  </si>
  <si>
    <t>Remote Pilot Block Pickup (50G3) in Sec Amps</t>
  </si>
  <si>
    <r>
      <t xml:space="preserve">Remote  Pilot Imp element Pickup in </t>
    </r>
    <r>
      <rPr>
        <b/>
        <sz val="10"/>
        <color rgb="FFFF0000"/>
        <rFont val="Arial"/>
        <family val="2"/>
      </rPr>
      <t>Primary Ohms</t>
    </r>
  </si>
  <si>
    <t>Ohm</t>
  </si>
  <si>
    <t>Note: Use the maximum of Z2 or Extended Pilot (Z5) of remote Relay pickup in Primary Ohms</t>
  </si>
  <si>
    <t>Lowest Remote BKR Fail PHASE pickup in two breaker scheme (Sec. Amps)</t>
  </si>
  <si>
    <t>This is utilized in DTT calculations</t>
  </si>
  <si>
    <t>Lowest Remote BKR Fail ground pickup in two breaker scheme (Sec. Amps)</t>
  </si>
  <si>
    <t>Lowest Remote BKR Fail ground pickup (Sec. Amps)</t>
  </si>
  <si>
    <t>This table created exclusively for distribution transformer calculations</t>
  </si>
  <si>
    <t>first line R to tap</t>
  </si>
  <si>
    <t>first line X to tap</t>
  </si>
  <si>
    <t>R of tap</t>
  </si>
  <si>
    <t>X of Tap</t>
  </si>
  <si>
    <t>R total</t>
  </si>
  <si>
    <t>X total</t>
  </si>
  <si>
    <t>Find Z Min</t>
  </si>
  <si>
    <t>Transformer</t>
  </si>
  <si>
    <t>Z total</t>
  </si>
  <si>
    <t>R xfmr</t>
  </si>
  <si>
    <t>X xfmr</t>
  </si>
  <si>
    <t>R line</t>
  </si>
  <si>
    <t>X line</t>
  </si>
  <si>
    <t>Location</t>
  </si>
  <si>
    <t>XFMR Zmin</t>
  </si>
  <si>
    <t>Xline</t>
  </si>
  <si>
    <t>NERC Compliance</t>
  </si>
  <si>
    <t>PRC_025_Synchronous</t>
  </si>
  <si>
    <t>PRC_025_Asynchronous_Wind_Farms_Solar_Array</t>
  </si>
  <si>
    <t># of 2nd Lines</t>
  </si>
  <si>
    <t># of Tap lines</t>
  </si>
  <si>
    <t># of breakers</t>
  </si>
  <si>
    <t># of Autos</t>
  </si>
  <si>
    <t># of Distribution XFMRs</t>
  </si>
  <si>
    <t>R1.2 - Highest Seasonal 15-minute Rating</t>
  </si>
  <si>
    <t>R1.3.1 - Maximum Power Transfer Capability</t>
  </si>
  <si>
    <t>R1.3.2 - Maximum Power Transfer Capability</t>
  </si>
  <si>
    <t>R1.4 - Max Power Transfer for Series Comp</t>
  </si>
  <si>
    <t>R1.5 - Maximum Three Phase Line End Fault</t>
  </si>
  <si>
    <t>R1.7 - Max Current From Load to Generator</t>
  </si>
  <si>
    <t>R1.8 - Max Current From System to Load</t>
  </si>
  <si>
    <t>R1.9 - Max Current From Load to System</t>
  </si>
  <si>
    <t>R1.10 - Lines That Terminate at Transformer</t>
  </si>
  <si>
    <t>R1.11 - Transformer only, does not apply</t>
  </si>
  <si>
    <t>R1.12 - Limitation to Protect Line</t>
  </si>
  <si>
    <t>R1.13 - All Other Circuit Limitations</t>
  </si>
  <si>
    <t>P</t>
  </si>
  <si>
    <t>Preported</t>
  </si>
  <si>
    <t>Q</t>
  </si>
  <si>
    <t>S</t>
  </si>
  <si>
    <t>Trans angle</t>
  </si>
  <si>
    <t>Zsec</t>
  </si>
  <si>
    <t>Margin</t>
  </si>
  <si>
    <t>Select PRC-025-Synchronous Requirement</t>
  </si>
  <si>
    <t>T1.14a -at 0.85pu voltage 115% of 100% of the aggregate generation MW and 120% of MW for Reactive Power</t>
  </si>
  <si>
    <t>T1.14b - at max reactive power output for field forcing simulation 115% of 100% of the aggregate generation MW and 100% of Mvar for Reactive Power</t>
  </si>
  <si>
    <t xml:space="preserve"> </t>
  </si>
  <si>
    <t>Threshold Level for disperse sources with aggregated capacity  MVA</t>
  </si>
  <si>
    <t>Second Line Names</t>
  </si>
  <si>
    <t>R pos</t>
  </si>
  <si>
    <t>X pos</t>
  </si>
  <si>
    <t>R zero</t>
  </si>
  <si>
    <t>X zero</t>
  </si>
  <si>
    <t>Z(MAG)</t>
  </si>
  <si>
    <t>LINE NAMES</t>
  </si>
  <si>
    <t>Tap Line Names</t>
  </si>
  <si>
    <t>R pos of Tap</t>
  </si>
  <si>
    <t>X pos of Tap</t>
  </si>
  <si>
    <t>R pos to Tap</t>
  </si>
  <si>
    <t>X pos to tap</t>
  </si>
  <si>
    <t>Longest Tap With Infeed</t>
  </si>
  <si>
    <t>Line (Reference)</t>
  </si>
  <si>
    <t>Bus1 (Source1)</t>
  </si>
  <si>
    <t>Bus 2 (Source2)</t>
  </si>
  <si>
    <t>VAY</t>
  </si>
  <si>
    <t>VBY</t>
  </si>
  <si>
    <t>VCY</t>
  </si>
  <si>
    <t>VAZ</t>
  </si>
  <si>
    <t>VBZ</t>
  </si>
  <si>
    <t>VCZ</t>
  </si>
  <si>
    <t>Nom Sys kV</t>
  </si>
  <si>
    <t>PTR 69V Sec</t>
  </si>
  <si>
    <t>Recommended</t>
  </si>
  <si>
    <t>PRT 115V Sec</t>
  </si>
  <si>
    <t>69V Actual</t>
  </si>
  <si>
    <t>MVA / %Z</t>
  </si>
  <si>
    <t>R / X in Per Unit</t>
  </si>
  <si>
    <t xml:space="preserve">Table from SDA data Translation Table. </t>
  </si>
  <si>
    <t>Transformer Table</t>
  </si>
  <si>
    <t>Transformer 1</t>
  </si>
  <si>
    <t>Transformer 2</t>
  </si>
  <si>
    <t>Transformer 3</t>
  </si>
  <si>
    <t>Transformer 4</t>
  </si>
  <si>
    <t>Transformer 5</t>
  </si>
  <si>
    <t>Transformer 6</t>
  </si>
  <si>
    <t>Transformer 7</t>
  </si>
  <si>
    <t>Transformer 8</t>
  </si>
  <si>
    <t>Transformer 9</t>
  </si>
  <si>
    <t>Transformer 10</t>
  </si>
  <si>
    <t>Transformer 11</t>
  </si>
  <si>
    <t>Transformer 12</t>
  </si>
  <si>
    <t>Transformer 13</t>
  </si>
  <si>
    <t>Transformer 14</t>
  </si>
  <si>
    <t>Transformer 15</t>
  </si>
  <si>
    <t>Transformer 16</t>
  </si>
  <si>
    <t>Report Transformer 1</t>
  </si>
  <si>
    <t>Report Transformer 2</t>
  </si>
  <si>
    <t>Report Transformer 3</t>
  </si>
  <si>
    <t>Report Transformer 4</t>
  </si>
  <si>
    <t>Report Transformer 5</t>
  </si>
  <si>
    <t>Report Transformer 6</t>
  </si>
  <si>
    <t>Report Transformer 7</t>
  </si>
  <si>
    <t>Report Transformer 8</t>
  </si>
  <si>
    <t>PRC-025 Synchronous Generator Data Entry Sheet</t>
  </si>
  <si>
    <t>PRC-025 Asynchronous Generator Data Entry Sheet / Wind Farms and Solar Arrays</t>
  </si>
  <si>
    <t>This sheet is only used for the PRC-025 case T1.14a and T1.14b to aggregate all the generators output at a generating plant.</t>
  </si>
  <si>
    <t>This sheet is only used for the PRC-025 case T1.17 to aggregate all the generators output at a generating equipment behind the relay and static or dynamic Reactive Poower devices that contribute to the power flow</t>
  </si>
  <si>
    <t>Generator Name</t>
  </si>
  <si>
    <t>Real Power Reported to Planner in MW (T1.14a)</t>
  </si>
  <si>
    <t>Generator Rated Power Factor</t>
  </si>
  <si>
    <t>Generator Reactive Power Flow Per Simulation in MVAR
(T1.14b)</t>
  </si>
  <si>
    <t>Generator Rated Real Power in MW (calculated)</t>
  </si>
  <si>
    <t>Asynchronous Generator Name or Static/Dynamic Device Name</t>
  </si>
  <si>
    <t xml:space="preserve">Asynchronous Generator MVA </t>
  </si>
  <si>
    <t>Qty Asynchronous Generators</t>
  </si>
  <si>
    <t>Total Asynchronour Generators MVA</t>
  </si>
  <si>
    <t>Asynchronous Generator Rated Power Factor</t>
  </si>
  <si>
    <t>Static/Dynamic Devices  Reactive Power in MVAR that contribute to power flow</t>
  </si>
  <si>
    <t>Asynchronous Generator Rated Real Power in MW (calculated)</t>
  </si>
  <si>
    <t>Asynchronous Generator Rated Real Power in MVAR (calculated)</t>
  </si>
  <si>
    <t>Gen 1</t>
  </si>
  <si>
    <t>Gen 2</t>
  </si>
  <si>
    <t>Capacitor</t>
  </si>
  <si>
    <t>Gen 3</t>
  </si>
  <si>
    <t>Total</t>
  </si>
  <si>
    <t>*Click on the Back to Data Entry Hyperlink to go back to Data Entry Tab</t>
  </si>
  <si>
    <t xml:space="preserve">Project System </t>
  </si>
  <si>
    <t>Sub10 to Sub20</t>
  </si>
  <si>
    <t>Sub15</t>
  </si>
  <si>
    <t>Sub30</t>
  </si>
  <si>
    <t>Sub20</t>
  </si>
  <si>
    <t>Sub15 T1 (Dist XFMR)</t>
  </si>
  <si>
    <t>Sub10</t>
  </si>
  <si>
    <t>BUS 1</t>
  </si>
  <si>
    <t>BKR XXX10</t>
  </si>
  <si>
    <t>BKR XXX40</t>
  </si>
  <si>
    <t>Sub40</t>
  </si>
  <si>
    <t>Line 1</t>
  </si>
  <si>
    <t xml:space="preserve">      Sub15 (tap)</t>
  </si>
  <si>
    <t>Sub50</t>
  </si>
  <si>
    <t>Source2</t>
  </si>
  <si>
    <t>Line 3</t>
  </si>
  <si>
    <t>BKR XXX20</t>
  </si>
  <si>
    <t>Source1</t>
  </si>
  <si>
    <t>Line 2</t>
  </si>
  <si>
    <t>BKR XXX30</t>
  </si>
  <si>
    <t>BKR XXX50</t>
  </si>
  <si>
    <t>BUS 2</t>
  </si>
  <si>
    <t>NOTE: This project system reflects Calc Sheet default arrangement and does NOT update based on user selections</t>
  </si>
  <si>
    <t>Aspen Impedance Calculations</t>
  </si>
  <si>
    <t>First Line Impedence from ASPEN:</t>
  </si>
  <si>
    <t>R</t>
  </si>
  <si>
    <t>X</t>
  </si>
  <si>
    <t>Ro</t>
  </si>
  <si>
    <t>Xo</t>
  </si>
  <si>
    <t>Miles</t>
  </si>
  <si>
    <t>Second Line Impedences from ASPEN:</t>
  </si>
  <si>
    <t>Bus CAPE CKT number</t>
  </si>
  <si>
    <t>Tapped Line Impedences from ASPEN:</t>
  </si>
  <si>
    <t>Tap Name</t>
  </si>
  <si>
    <t>Bus Name at the End of Tap</t>
  </si>
  <si>
    <t xml:space="preserve"> Impedences of First Line To Tapped Line from ASPEN:</t>
  </si>
  <si>
    <t>*</t>
  </si>
  <si>
    <t>Equation</t>
  </si>
  <si>
    <t>PM1804 Ref</t>
  </si>
  <si>
    <t>Fault Detector Calculations for Terminal:</t>
  </si>
  <si>
    <t>Line:</t>
  </si>
  <si>
    <t>Line Limit used for Calcs</t>
  </si>
  <si>
    <t>=</t>
  </si>
  <si>
    <t>This value is used directlty as the limit for all the calculations except Differential calculations</t>
  </si>
  <si>
    <t>CTR</t>
  </si>
  <si>
    <t>/5=</t>
  </si>
  <si>
    <t>PTR</t>
  </si>
  <si>
    <t>CTR / PTR</t>
  </si>
  <si>
    <t>Close In fault is used to determine if max fault current is greater than 20 * CT Ratio.  Remote Bus Fault 3LG and L-L are used to calculate the Zone 1 fault detector and 1LG is used to calculate the Ground Overcurrent Pilot Setting.  Longest 2nd Line fault is used to calculate the Ground Time Overcurrent pickup setting.</t>
  </si>
  <si>
    <t>Line Primary Voltage</t>
  </si>
  <si>
    <t>kV</t>
  </si>
  <si>
    <t>Fault Currents Calculations</t>
  </si>
  <si>
    <t>(run all faults below in Aspen)</t>
  </si>
  <si>
    <t>Specify the fault type</t>
  </si>
  <si>
    <t xml:space="preserve">Note: ASPEN reports 3I0 and I2 current on the GUI and I0 and I2 current in TTY report.      
</t>
  </si>
  <si>
    <t>=&gt;</t>
  </si>
  <si>
    <r>
      <t xml:space="preserve">Notes
||
</t>
    </r>
    <r>
      <rPr>
        <b/>
        <sz val="10"/>
        <rFont val="Univers 45 Light"/>
        <family val="2"/>
      </rPr>
      <t>ᴠ</t>
    </r>
  </si>
  <si>
    <r>
      <t xml:space="preserve">Minimum Line End fault Current (All Sources In) in primary Amps </t>
    </r>
    <r>
      <rPr>
        <b/>
        <sz val="10"/>
        <color rgb="FFFF0000"/>
        <rFont val="Arial"/>
        <family val="2"/>
      </rPr>
      <t>(Test 5 SDA)</t>
    </r>
  </si>
  <si>
    <t>1LG</t>
  </si>
  <si>
    <t>Minimum Line end fault is used to detect all the faults on the protected line, check 1LG, 3LG,L-L faults because at some buses with a step-up up auto can give more fault current for 1LG fault compared to a 3LG fault. Used to set LOP phase current pickup.</t>
  </si>
  <si>
    <r>
      <t xml:space="preserve">Minimum Line End 1LG fault Current (All Sources In) in primary Amps  </t>
    </r>
    <r>
      <rPr>
        <b/>
        <sz val="10"/>
        <color rgb="FFFF0000"/>
        <rFont val="Arial"/>
        <family val="2"/>
      </rPr>
      <t>(Test 5 SDA)</t>
    </r>
  </si>
  <si>
    <t>1LG (3I0)</t>
  </si>
  <si>
    <t>Minimum line end 1LG fault Current is used to set time dial setting of ground over current setting</t>
  </si>
  <si>
    <r>
      <t xml:space="preserve">Minimum line end LL fault Negative sequence (I2) current in primary Amps </t>
    </r>
    <r>
      <rPr>
        <b/>
        <sz val="10"/>
        <color rgb="FFFF0000"/>
        <rFont val="Arial"/>
        <family val="2"/>
      </rPr>
      <t xml:space="preserve"> (Test 5 SDA)</t>
    </r>
  </si>
  <si>
    <t>LL</t>
  </si>
  <si>
    <t xml:space="preserve">Minimum line end LL fault current is used to set LOP negative sequence pickup </t>
  </si>
  <si>
    <r>
      <t xml:space="preserve">Max 3LG fault on tapped (Remote end open), Remote bus, Local Bus XFMR  (All Sources In) in primary Amps </t>
    </r>
    <r>
      <rPr>
        <b/>
        <sz val="10"/>
        <color rgb="FFFF0000"/>
        <rFont val="Arial"/>
        <family val="2"/>
      </rPr>
      <t>(Test 6 SDA)</t>
    </r>
  </si>
  <si>
    <t>3LG</t>
  </si>
  <si>
    <t>It is desirable for the LOP overcurrent to not trip the transmission line for faults on the secondary of a tapped transformer with no infeed from the remote station.</t>
  </si>
  <si>
    <r>
      <t xml:space="preserve">Max LL fault I2 current on tapped (Remote end open), Remote bus, Local Bus  XFMR  (All Sources In) in primary Amps </t>
    </r>
    <r>
      <rPr>
        <b/>
        <sz val="10"/>
        <color rgb="FFFF0000"/>
        <rFont val="Arial"/>
        <family val="2"/>
      </rPr>
      <t>(Test 6 SDA)</t>
    </r>
  </si>
  <si>
    <r>
      <t xml:space="preserve">Minimum Line End fault Current (n-1) in primary Amps </t>
    </r>
    <r>
      <rPr>
        <b/>
        <sz val="10"/>
        <color rgb="FFFF0000"/>
        <rFont val="Arial"/>
        <family val="2"/>
      </rPr>
      <t>(Test 7 SDA)</t>
    </r>
  </si>
  <si>
    <t>Minimum Line end fault is used to detect all the faults on the protected line for n-1 case, check 1LG, 3LG,L-L faults because at some buses with a setup up auto can give more fault current for 1Lg fault compared to a 3LG fault.</t>
  </si>
  <si>
    <r>
      <t xml:space="preserve">Minimum LL Line End fault I2 Current (n-1) in primary Amps </t>
    </r>
    <r>
      <rPr>
        <b/>
        <sz val="10"/>
        <color rgb="FFFF0000"/>
        <rFont val="Arial"/>
        <family val="2"/>
      </rPr>
      <t>(Test 7 SDA)</t>
    </r>
  </si>
  <si>
    <t>Line end fault on Longest 2nd Line (Strongest Source Removed) in primary Amps</t>
  </si>
  <si>
    <t>Longest 2nd Line fault is used to calculate the Ground Time Overcurrent pickup setting.</t>
  </si>
  <si>
    <r>
      <t xml:space="preserve">Reverse (Local) Bus 1LG  fault current in primary Amps </t>
    </r>
    <r>
      <rPr>
        <b/>
        <sz val="10"/>
        <color rgb="FFFF0000"/>
        <rFont val="Arial"/>
        <family val="2"/>
      </rPr>
      <t>(Test 8 SDA)</t>
    </r>
  </si>
  <si>
    <t>Reverse bus fault is used to set the time dial of ground Over Time Current Pickup</t>
  </si>
  <si>
    <r>
      <t xml:space="preserve">minmum of 3LG, 1LG, LL for a Remote Bus Fault with strongest source removed  in primary Amps </t>
    </r>
    <r>
      <rPr>
        <sz val="8"/>
        <rFont val="Arial"/>
        <family val="2"/>
      </rPr>
      <t>(fault current at the relay location)</t>
    </r>
  </si>
  <si>
    <t>This three phase fault current is used to calculate arc resistance and requires the  fault current seen by the relay</t>
  </si>
  <si>
    <t>Minimum of the total 3LG, LL fault current for local and remote bus or line end fault current for (n-1) in primary amps</t>
  </si>
  <si>
    <t>This fault current is used to calculate 87L phase pickup and requires the total fault current at the fault location</t>
  </si>
  <si>
    <t>Minimum of the total   negative seq (I2) current for a LL fault at local and remote bus or line end fault current for (n-1) in primary amps</t>
  </si>
  <si>
    <t>LL (I2)</t>
  </si>
  <si>
    <t>This fault current is used to calculate 87L negative seq pickup and requires the total fault current at the fault location</t>
  </si>
  <si>
    <t>Minimum of the total   zero seq (3I0) current for a LG fault at local and remote bus or line end fault current for (n-1) in primary amps</t>
  </si>
  <si>
    <t>LG (3I0)</t>
  </si>
  <si>
    <t>This fault current is used to calculate 87L zero seq pickup and requires the total fault current at the fault location</t>
  </si>
  <si>
    <t>Maximum of phase differential fault current (sum of local and remote relay currents) for a low side fault on tapped distribution XFMR in Primary Amps. (only applies to 311L and 411L relays)</t>
  </si>
  <si>
    <t>This fault current is used to calculate 87L pickup for Sel 311L/411L line differential relays</t>
  </si>
  <si>
    <t>Maximum of negative sequential (I2) differential fault current (sum of local and remote relay currents) for a low side fault on tapped distribution XFMR in Primary Amps. (only applies to 311L and 411L relays)</t>
  </si>
  <si>
    <t>This fault current is used to calculate 87L negative seq pickup for Sel 311L/411L line differential relays</t>
  </si>
  <si>
    <t>Maximum of zero sequential (3I0) differential fault current (sum of local and remote relay currents) for a low side fault on tapped distribution XFMR in Primary Amps. (only applies to 311L and 411L relays)</t>
  </si>
  <si>
    <t>This fault current is used to calculate 87L zero seq pickup for Sel 311L/411L line differential relays</t>
  </si>
  <si>
    <t>Differential Relay Calculations</t>
  </si>
  <si>
    <t>Case No.</t>
  </si>
  <si>
    <t>L-L</t>
  </si>
  <si>
    <t>I2 *</t>
  </si>
  <si>
    <t>3I0</t>
  </si>
  <si>
    <t xml:space="preserve">Fault type:              ===&gt; </t>
  </si>
  <si>
    <r>
      <rPr>
        <b/>
        <sz val="10"/>
        <rFont val="Arial"/>
        <family val="2"/>
      </rPr>
      <t>1.a</t>
    </r>
    <r>
      <rPr>
        <sz val="10"/>
        <rFont val="Arial"/>
        <family val="2"/>
      </rPr>
      <t xml:space="preserve"> </t>
    </r>
    <r>
      <rPr>
        <b/>
        <sz val="10"/>
        <color rgb="FFFF0000"/>
        <rFont val="Arial"/>
        <family val="2"/>
      </rPr>
      <t>(Test 9 SDA)</t>
    </r>
  </si>
  <si>
    <r>
      <t xml:space="preserve">Close In End Open (All Sources In = maximum Fault available) </t>
    </r>
    <r>
      <rPr>
        <b/>
        <sz val="10"/>
        <color rgb="FFFF0000"/>
        <rFont val="Arial"/>
        <family val="2"/>
      </rPr>
      <t>(Test 1 SDA)</t>
    </r>
  </si>
  <si>
    <r>
      <rPr>
        <b/>
        <sz val="10"/>
        <rFont val="Arial"/>
        <family val="2"/>
      </rPr>
      <t>1.b</t>
    </r>
    <r>
      <rPr>
        <sz val="10"/>
        <rFont val="Arial"/>
        <family val="2"/>
      </rPr>
      <t xml:space="preserve"> </t>
    </r>
    <r>
      <rPr>
        <b/>
        <sz val="10"/>
        <color rgb="FFFF0000"/>
        <rFont val="Arial"/>
        <family val="2"/>
      </rPr>
      <t>(Test 9 SDA)</t>
    </r>
  </si>
  <si>
    <r>
      <t xml:space="preserve">Close In End Closed (All Sources In = maximum Fault available) </t>
    </r>
    <r>
      <rPr>
        <b/>
        <sz val="10"/>
        <color rgb="FFFF0000"/>
        <rFont val="Arial"/>
        <family val="2"/>
      </rPr>
      <t>(Test 2 SDA)</t>
    </r>
  </si>
  <si>
    <r>
      <rPr>
        <b/>
        <sz val="10"/>
        <rFont val="Arial"/>
        <family val="2"/>
      </rPr>
      <t>2.a</t>
    </r>
    <r>
      <rPr>
        <sz val="10"/>
        <rFont val="Arial"/>
        <family val="2"/>
      </rPr>
      <t xml:space="preserve"> </t>
    </r>
    <r>
      <rPr>
        <b/>
        <sz val="10"/>
        <color rgb="FFFF0000"/>
        <rFont val="Arial"/>
        <family val="2"/>
      </rPr>
      <t>(Test 10 SDA)</t>
    </r>
  </si>
  <si>
    <r>
      <t xml:space="preserve">Remote Bus Fault (Strongest Source Removed) </t>
    </r>
    <r>
      <rPr>
        <b/>
        <sz val="10"/>
        <color rgb="FFFF0000"/>
        <rFont val="Arial"/>
        <family val="2"/>
      </rPr>
      <t>(Test 3 SDA)</t>
    </r>
  </si>
  <si>
    <t>&lt;--</t>
  </si>
  <si>
    <t>All faults with Source1-Sub10 out of service.</t>
  </si>
  <si>
    <r>
      <rPr>
        <b/>
        <sz val="10"/>
        <rFont val="Arial"/>
        <family val="2"/>
      </rPr>
      <t>2.b</t>
    </r>
    <r>
      <rPr>
        <sz val="10"/>
        <rFont val="Arial"/>
        <family val="2"/>
      </rPr>
      <t xml:space="preserve"> </t>
    </r>
    <r>
      <rPr>
        <b/>
        <sz val="10"/>
        <color rgb="FFFF0000"/>
        <rFont val="Arial"/>
        <family val="2"/>
      </rPr>
      <t>(Test 10 SDA)</t>
    </r>
  </si>
  <si>
    <r>
      <t xml:space="preserve">Longest 2nd Line, Line End Fault (Strongest Source Removed, ):51GP
                                                                                   </t>
    </r>
    <r>
      <rPr>
        <b/>
        <sz val="10"/>
        <color rgb="FFFF0000"/>
        <rFont val="Arial"/>
        <family val="2"/>
      </rPr>
      <t>(Test 4 SDA)</t>
    </r>
  </si>
  <si>
    <r>
      <rPr>
        <b/>
        <sz val="10"/>
        <rFont val="Arial"/>
        <family val="2"/>
      </rPr>
      <t xml:space="preserve">3 </t>
    </r>
    <r>
      <rPr>
        <b/>
        <sz val="10"/>
        <color rgb="FFFF0000"/>
        <rFont val="Arial"/>
        <family val="2"/>
      </rPr>
      <t>(Test 11 SDA)</t>
    </r>
  </si>
  <si>
    <t>* Only enter I2 current from ASPEN GUI, the calcsheet will multiply the pickup with 3 to get 87L2</t>
  </si>
  <si>
    <t>X/R and Source Impedance Ratio (Phase fault)</t>
  </si>
  <si>
    <t>The X/R should be calculated via ASPEN, Use ASPEN calculation method</t>
  </si>
  <si>
    <t>For N-0 Case</t>
  </si>
  <si>
    <r>
      <t xml:space="preserve">3LG Fault Close in End Open X/R </t>
    </r>
    <r>
      <rPr>
        <b/>
        <sz val="10"/>
        <color rgb="FFFF0000"/>
        <rFont val="Arial"/>
        <family val="2"/>
      </rPr>
      <t>(Test 16 SDA)</t>
    </r>
  </si>
  <si>
    <t>X/R Phase Faults</t>
  </si>
  <si>
    <t>Eq 4.1</t>
  </si>
  <si>
    <r>
      <t xml:space="preserve">LG Fault Close in End Open ASPEN X/R </t>
    </r>
    <r>
      <rPr>
        <b/>
        <sz val="10"/>
        <color rgb="FFFF0000"/>
        <rFont val="Arial"/>
        <family val="2"/>
      </rPr>
      <t>(Test 16 SDA)</t>
    </r>
  </si>
  <si>
    <t>X/R Ground Faults</t>
  </si>
  <si>
    <t>Eq 4.2</t>
  </si>
  <si>
    <t>Source Impedances</t>
  </si>
  <si>
    <t>R1</t>
  </si>
  <si>
    <t>X1</t>
  </si>
  <si>
    <t>R2</t>
  </si>
  <si>
    <t>X2</t>
  </si>
  <si>
    <t>R0</t>
  </si>
  <si>
    <t>X0</t>
  </si>
  <si>
    <r>
      <t xml:space="preserve">in primary ohms </t>
    </r>
    <r>
      <rPr>
        <b/>
        <sz val="10"/>
        <color rgb="FFFF0000"/>
        <rFont val="Arial"/>
        <family val="2"/>
      </rPr>
      <t>(Test 15 SDA)</t>
    </r>
  </si>
  <si>
    <t>Source Impedance Polar Form</t>
  </si>
  <si>
    <t>@</t>
  </si>
  <si>
    <t>deg.  Primary Ohms</t>
  </si>
  <si>
    <r>
      <t>Z</t>
    </r>
    <r>
      <rPr>
        <vertAlign val="subscript"/>
        <sz val="7"/>
        <rFont val="Arial"/>
        <family val="2"/>
      </rPr>
      <t>1</t>
    </r>
    <r>
      <rPr>
        <sz val="7"/>
        <rFont val="Arial"/>
        <family val="2"/>
      </rPr>
      <t xml:space="preserve"> Source Impedance (Primary Ohms)</t>
    </r>
  </si>
  <si>
    <r>
      <t>Z</t>
    </r>
    <r>
      <rPr>
        <vertAlign val="subscript"/>
        <sz val="7"/>
        <rFont val="Arial"/>
        <family val="2"/>
      </rPr>
      <t>1</t>
    </r>
    <r>
      <rPr>
        <sz val="7"/>
        <rFont val="Arial"/>
        <family val="2"/>
      </rPr>
      <t xml:space="preserve"> Source Impedance Angle</t>
    </r>
  </si>
  <si>
    <t>Note:  SIR ratio based on Zone 1 reach because you do not want Zone 1 distance protection to overreach during an external fault.</t>
  </si>
  <si>
    <t>Source Impedance Ratio (Phase Faults)</t>
  </si>
  <si>
    <r>
      <t>SIR=Z</t>
    </r>
    <r>
      <rPr>
        <b/>
        <vertAlign val="subscript"/>
        <sz val="10"/>
        <rFont val="Arial"/>
        <family val="2"/>
      </rPr>
      <t>S MAX</t>
    </r>
    <r>
      <rPr>
        <b/>
        <sz val="10"/>
        <rFont val="Arial"/>
        <family val="2"/>
      </rPr>
      <t>/Z</t>
    </r>
    <r>
      <rPr>
        <b/>
        <vertAlign val="subscript"/>
        <sz val="10"/>
        <rFont val="Arial"/>
        <family val="2"/>
      </rPr>
      <t>SET</t>
    </r>
  </si>
  <si>
    <t>SIR</t>
  </si>
  <si>
    <t>=(</t>
  </si>
  <si>
    <t>+J</t>
  </si>
  <si>
    <t>)/(</t>
  </si>
  <si>
    <t>*(</t>
  </si>
  <si>
    <t>+j</t>
  </si>
  <si>
    <t>)*</t>
  </si>
  <si>
    <t>)</t>
  </si>
  <si>
    <t>Eq 4.3</t>
  </si>
  <si>
    <r>
      <t>Z</t>
    </r>
    <r>
      <rPr>
        <vertAlign val="subscript"/>
        <sz val="7"/>
        <rFont val="Arial"/>
        <family val="2"/>
      </rPr>
      <t>1</t>
    </r>
    <r>
      <rPr>
        <sz val="7"/>
        <rFont val="Arial"/>
        <family val="2"/>
      </rPr>
      <t xml:space="preserve"> Source Impedance</t>
    </r>
  </si>
  <si>
    <t>% of Line Covered by Z1</t>
  </si>
  <si>
    <r>
      <t>Z</t>
    </r>
    <r>
      <rPr>
        <vertAlign val="subscript"/>
        <sz val="7"/>
        <rFont val="Arial"/>
        <family val="2"/>
      </rPr>
      <t>1</t>
    </r>
    <r>
      <rPr>
        <sz val="7"/>
        <rFont val="Arial"/>
        <family val="2"/>
      </rPr>
      <t xml:space="preserve"> of First Line</t>
    </r>
  </si>
  <si>
    <t>Base Ohms</t>
  </si>
  <si>
    <t>/(</t>
  </si>
  <si>
    <t>)=</t>
  </si>
  <si>
    <t>Positive Sequence SIR</t>
  </si>
  <si>
    <t>Eq 4.4</t>
  </si>
  <si>
    <t>Source Impedance Ratio (Phase to Ground Faults)</t>
  </si>
  <si>
    <t>Source Ground Loop Impedance</t>
  </si>
  <si>
    <t>Primary Ohms</t>
  </si>
  <si>
    <t>R1+R2+R0</t>
  </si>
  <si>
    <t>X1+X2+X0</t>
  </si>
  <si>
    <t>Ground Source Impedance Polar Form</t>
  </si>
  <si>
    <t>Ground Source Impedance (Primary Ohms)</t>
  </si>
  <si>
    <t>Ground Source Impedance Angle</t>
  </si>
  <si>
    <t>Line Ground Loop Impedance</t>
  </si>
  <si>
    <t>2*R1+R0</t>
  </si>
  <si>
    <t>2*X1+X0</t>
  </si>
  <si>
    <t>Ground Loop SIR</t>
  </si>
  <si>
    <t>Eq 4.5</t>
  </si>
  <si>
    <t>For N-1 Case (Remove the strongest source behind the relay)</t>
  </si>
  <si>
    <t xml:space="preserve">3LG Fault Close in End Open ASPEN X/R </t>
  </si>
  <si>
    <t>LG Fault Close in End Open ASPEN X/R</t>
  </si>
  <si>
    <t>in primary ohms</t>
  </si>
  <si>
    <t>deg. Primary Ohms</t>
  </si>
  <si>
    <t>Note: This ground Loop SIR should be updated in the viewable document summary sheet and update the section heading from Zero sequence to Ground Loop Impedance.</t>
  </si>
  <si>
    <t>Selected X/R Phase Faults</t>
  </si>
  <si>
    <t>*** If either end of the transmission line has a Source Impedance Ratio (SIR) of 20 or more with the strongest source out of service (n-1 condition), then a Zone 1 distance relay should not be applied, as it is not practical for the relay to distinguish between fault before or after the remote interrupting device.  If there is a pilot scheme in place, a 10 cycle time-delayed Zone 1 may be applied for a loss of pilot communication condition. For all EHV, critical clearing time, or operationally critical HV transmission lines, current differential relaying should be applied as part of a dual primary scheme.</t>
  </si>
  <si>
    <t>Selected Ground Faults</t>
  </si>
  <si>
    <t>Selected Positive Sequence SIR</t>
  </si>
  <si>
    <t>Arc Resistance Calculations</t>
  </si>
  <si>
    <t>Note: Engineer has a freedom to chose the best arc impedance calculation method suited for the project depending on the data availability. Two times the calculated resistance is recommended because all these formulas are empirical.</t>
  </si>
  <si>
    <t xml:space="preserve">Select an Arc Resistance Calculation Method = </t>
  </si>
  <si>
    <t>Method 1) ABB Formula</t>
  </si>
  <si>
    <r>
      <t>R</t>
    </r>
    <r>
      <rPr>
        <vertAlign val="subscript"/>
        <sz val="10"/>
        <rFont val="Arial"/>
        <family val="2"/>
      </rPr>
      <t>arc</t>
    </r>
  </si>
  <si>
    <r>
      <t>76*kV</t>
    </r>
    <r>
      <rPr>
        <vertAlign val="superscript"/>
        <sz val="10"/>
        <rFont val="Arial"/>
        <family val="2"/>
      </rPr>
      <t>2</t>
    </r>
  </si>
  <si>
    <r>
      <t>S</t>
    </r>
    <r>
      <rPr>
        <vertAlign val="subscript"/>
        <sz val="8"/>
        <rFont val="Arial"/>
        <family val="2"/>
      </rPr>
      <t>sc</t>
    </r>
  </si>
  <si>
    <t xml:space="preserve">Ssc is Short Circuit KVA at the fault Location, it is recommended to use 3 Phase fault on Remote Bus </t>
  </si>
  <si>
    <t>Method 2) J. Lewis Blackburn Formula</t>
  </si>
  <si>
    <t>(This method is limited for arc current between 70 to 20000A)</t>
  </si>
  <si>
    <t>440*L</t>
  </si>
  <si>
    <r>
      <t>2*R</t>
    </r>
    <r>
      <rPr>
        <b/>
        <vertAlign val="subscript"/>
        <sz val="12"/>
        <rFont val="Arial"/>
        <family val="2"/>
      </rPr>
      <t>arc</t>
    </r>
  </si>
  <si>
    <t>Ohms Primary</t>
  </si>
  <si>
    <t>I</t>
  </si>
  <si>
    <t>I is the fault current in amps</t>
  </si>
  <si>
    <t>L (spacing between conductors)</t>
  </si>
  <si>
    <t>This value is mandatory for Method 2 and Method 3</t>
  </si>
  <si>
    <t>Method 3) A. R. Van Warrington Formula</t>
  </si>
  <si>
    <t>(This method is limited for arc current between 1000 to 30000A)</t>
  </si>
  <si>
    <t>8750*L</t>
  </si>
  <si>
    <r>
      <t>I</t>
    </r>
    <r>
      <rPr>
        <vertAlign val="superscript"/>
        <sz val="8"/>
        <rFont val="Arial"/>
        <family val="2"/>
      </rPr>
      <t>1.4</t>
    </r>
  </si>
  <si>
    <t>Method 4) Other Methods of Calculation</t>
  </si>
  <si>
    <r>
      <t>2*R</t>
    </r>
    <r>
      <rPr>
        <vertAlign val="subscript"/>
        <sz val="10"/>
        <rFont val="Arial"/>
        <family val="2"/>
      </rPr>
      <t>arc</t>
    </r>
  </si>
  <si>
    <t>This value used as it is for the Arc resistnace and it will not be multiplied with 2, user should  consider entering the final values needed in this field</t>
  </si>
  <si>
    <t>Fault Detector Settings:</t>
  </si>
  <si>
    <t>Load Limit</t>
  </si>
  <si>
    <t>Line limit</t>
  </si>
  <si>
    <t>primary</t>
  </si>
  <si>
    <t>Check line limit at:</t>
  </si>
  <si>
    <t xml:space="preserve"> of line rating</t>
  </si>
  <si>
    <t>Breaker Rating (Maximum Load)</t>
  </si>
  <si>
    <t>Check breaker limit at:</t>
  </si>
  <si>
    <t xml:space="preserve"> of breaker rating</t>
  </si>
  <si>
    <t>Line Charging current:</t>
  </si>
  <si>
    <t>Primary</t>
  </si>
  <si>
    <t>Load Limit (max. load)</t>
  </si>
  <si>
    <t>(</t>
  </si>
  <si>
    <t>x</t>
  </si>
  <si>
    <t>) /</t>
  </si>
  <si>
    <t>= (</t>
  </si>
  <si>
    <t>) =</t>
  </si>
  <si>
    <t>Eq 4.6</t>
  </si>
  <si>
    <t>(max.Load = maximum load limit pri.)</t>
  </si>
  <si>
    <t>sqrt(3)</t>
  </si>
  <si>
    <t>max.Load</t>
  </si>
  <si>
    <t>% Margin</t>
  </si>
  <si>
    <t xml:space="preserve"> CTR</t>
  </si>
  <si>
    <t xml:space="preserve">  sqrt(3) </t>
  </si>
  <si>
    <t>ph.load</t>
  </si>
  <si>
    <t>ph.-ph.load</t>
  </si>
  <si>
    <t>Line Limit</t>
  </si>
  <si>
    <t>Eq 4.7</t>
  </si>
  <si>
    <t>(Line Limit = max.Line load limit pri.)</t>
  </si>
  <si>
    <t>ph.FD</t>
  </si>
  <si>
    <t>ph.-ph.FD</t>
  </si>
  <si>
    <t>ph.load = phase secondary FD based on breaker rating</t>
  </si>
  <si>
    <t>ph.-ph.load=phase to phase secondary FD based on breaker rating</t>
  </si>
  <si>
    <t>ph.FD=phase secondary FD based on line limit</t>
  </si>
  <si>
    <t>ph-ph.FD = phase-to-phase secondary FD based on line limit</t>
  </si>
  <si>
    <t>Zone 1 Fault Detector for 311C/311L relay</t>
  </si>
  <si>
    <t>Minimum 3-phase fault</t>
  </si>
  <si>
    <t>Minimum phase-phase fault</t>
  </si>
  <si>
    <t>% of min. multi-phase fault.</t>
  </si>
  <si>
    <t>FD Z1 (based on 3ph fault)</t>
  </si>
  <si>
    <t>Eq 4.8</t>
  </si>
  <si>
    <t>Fault pri</t>
  </si>
  <si>
    <t>ph. FD</t>
  </si>
  <si>
    <t>FD Z1(based on ph-ph fault)</t>
  </si>
  <si>
    <t>Eq 4.9</t>
  </si>
  <si>
    <t>The SEL-311 50PP1 setting should be set to the lower of the following:</t>
  </si>
  <si>
    <t xml:space="preserve">a. 80% of the minimum single contingency phase to phase remote bus fault or </t>
  </si>
  <si>
    <t>50PP1</t>
  </si>
  <si>
    <t>Eq 4.10</t>
  </si>
  <si>
    <t>b. 120% of the highest seasonal facility rating of the transmission line.</t>
  </si>
  <si>
    <t>if different</t>
  </si>
  <si>
    <t>(311 only)</t>
  </si>
  <si>
    <t>** When SEL-311C setting EADVS = n, 50PP2, 50PP3 and 50PP4 are automatically set to minimum value of 0.50.</t>
  </si>
  <si>
    <t>Differential Pickup Settings</t>
  </si>
  <si>
    <t>SEL311L and 411L Phase Differential Pickup:</t>
  </si>
  <si>
    <t>This setting should be set to the higher of the following:</t>
  </si>
  <si>
    <t>a) 1 Amp secondary current</t>
  </si>
  <si>
    <t xml:space="preserve">b)120% of the maximum current, as measured by the local and remote relay, of any short circuit fault that may occur on the secondary </t>
  </si>
  <si>
    <t xml:space="preserve">   of a power transformer tapped on the transmission line. See case 3a), and case 3b) in the explanation for differential pickup settings. </t>
  </si>
  <si>
    <t xml:space="preserve">   If two or more transformers are tapped and short circuit shows a risk low side distribution cross-country feeder faults, </t>
  </si>
  <si>
    <t xml:space="preserve">   then increase margin from 120% to 220% to avoid missoperations. See case 3c) in the explanation of differential pickups.</t>
  </si>
  <si>
    <t xml:space="preserve">   If the line has two or more tapped transformers with combinations of case 3b) and 3c), then select the case that provides the maximum fault current. </t>
  </si>
  <si>
    <t>% of max phase fault current</t>
  </si>
  <si>
    <t>** Change from 120% to 220% when tapped transformers pose a risk of missoperation on cross-country feeder faults. Case 3C) differential pickup settings case.</t>
  </si>
  <si>
    <t xml:space="preserve">c) Lower of 80% of the minimum single contingency 3LG or LL differential fault current for a local and remote bus faults or 120% of the sum of highest seasonal facility rating of the transmission line and line charging current </t>
  </si>
  <si>
    <t xml:space="preserve">Remote Terminal Line CT </t>
  </si>
  <si>
    <t>/5</t>
  </si>
  <si>
    <t>87LPP (311L Only)</t>
  </si>
  <si>
    <t>Eq 4.11</t>
  </si>
  <si>
    <t>** Max of W and X CT windings of remote 411L relay</t>
  </si>
  <si>
    <t>CTR_X or CTR_Y (311L Only)</t>
  </si>
  <si>
    <t>87LPP (411L Only)</t>
  </si>
  <si>
    <t>Eq 4.12</t>
  </si>
  <si>
    <t>87CTP1R (411L Only)</t>
  </si>
  <si>
    <t>** Make sure the diiferential setting will trip for Line end open fault for both ends</t>
  </si>
  <si>
    <t>SEL311L and 411L Negative Sequence Differential Pickup:</t>
  </si>
  <si>
    <t>a) 0.5 amps secondary</t>
  </si>
  <si>
    <t xml:space="preserve">   If two or more transformers are tapped and short circuit shows a risk low side distribution cross-country feeder faults,</t>
  </si>
  <si>
    <t>% of max neg seq fault current</t>
  </si>
  <si>
    <t>c) Lower of</t>
  </si>
  <si>
    <t>87L2P (311L Only)</t>
  </si>
  <si>
    <t>Eq 4.13</t>
  </si>
  <si>
    <t>i) 80% of the min single contingency LG or LL differential negative seq fault current for a local and remote bus faults</t>
  </si>
  <si>
    <t>3I2</t>
  </si>
  <si>
    <t>87LQP (411L Only)</t>
  </si>
  <si>
    <t>Eq 4.14</t>
  </si>
  <si>
    <t>ii) 120% of highest seasonal facility rating of the transmission line</t>
  </si>
  <si>
    <t>SEL311L and 411L Ground Differential Fault Detectors:</t>
  </si>
  <si>
    <t>b) 120% of the maximum zero seq current, as measured by the local and remote relay, of any short circuit fault that may occur on the secondary of a power transformer tapped on the transmission line</t>
  </si>
  <si>
    <t>87LGP (311L Only)</t>
  </si>
  <si>
    <t>Eq 4.15</t>
  </si>
  <si>
    <t>i) 80% of the minimum single contingency LG differential fault current for a local and remote bus faults</t>
  </si>
  <si>
    <t>87LGP (411L Only)</t>
  </si>
  <si>
    <t>Eq 4.16</t>
  </si>
  <si>
    <t>Ground Overcurrent Pilot Settings:</t>
  </si>
  <si>
    <t>Set trip to the lower of 100% line limit or 50% of remote bus 1LG fault (SSR); but no less than 200% remote pilot block.</t>
  </si>
  <si>
    <t>If 50% of the local pilot trip is less than 0.5 A on the remote end, the local pilot trip must be increased.</t>
  </si>
  <si>
    <t>/</t>
  </si>
  <si>
    <t>Eq 4.17</t>
  </si>
  <si>
    <t>Amps Pri.</t>
  </si>
  <si>
    <t>Eq 4.18</t>
  </si>
  <si>
    <t>Remote Bus 1LG (SSR)</t>
  </si>
  <si>
    <t>Eq 4.19</t>
  </si>
  <si>
    <t>Remote Pilot Block (Sec. Amps)</t>
  </si>
  <si>
    <t>Remote Line CTR</t>
  </si>
  <si>
    <t>Local CTR</t>
  </si>
  <si>
    <t>50G2P</t>
  </si>
  <si>
    <t>Eq 4.20</t>
  </si>
  <si>
    <t>Set (Gr. OC pilot pick-up)</t>
  </si>
  <si>
    <t>A Sec.</t>
  </si>
  <si>
    <t>Eq 4.21</t>
  </si>
  <si>
    <t>Pilot Trip</t>
  </si>
  <si>
    <t>Set block to 10% of CT rating (0.5 A secondary).</t>
  </si>
  <si>
    <t>Set (Gr. OC pilot block)</t>
  </si>
  <si>
    <t>50G3P</t>
  </si>
  <si>
    <t>Eq 4.22</t>
  </si>
  <si>
    <t>Note: SEL relays Directionality logic has 50FP and 50RP over current comparator and these need to be satisified to evaluate the directionality element for 67G2 and 67G3 element. Entergy Generally use AUTO calculation method and this will lead to 0.6A for SEL-421 and 0.5A for SEL-311C relay</t>
  </si>
  <si>
    <t>Stub Bus Minimum Pickup Setting:</t>
  </si>
  <si>
    <t>This is a protection scheme used to protect a relative small section of the substation bus between the transmission line circuit breakers and motor operated line disconnect switch when there is no PT or CVT connected to provide a relay polarizing quantity. In this case, the line PT’s or CVT’s are installed on the line side of the motor operated line disconnect switch.</t>
  </si>
  <si>
    <t>Enable Stub Bus protection</t>
  </si>
  <si>
    <t>Disable (0)</t>
  </si>
  <si>
    <t>For 421 and 411L,PSV58</t>
  </si>
  <si>
    <t>Eq 4.23</t>
  </si>
  <si>
    <t>Note: Enable=1, Disable=0</t>
  </si>
  <si>
    <t xml:space="preserve">Set PMV40 to the lower of 80% of the minimum fault or 1.0 p.u., but not lower than 0.5 p.u.  </t>
  </si>
  <si>
    <t>Minimum fault condition is based upon line opent with strongest source removed.</t>
  </si>
  <si>
    <r>
      <t xml:space="preserve">Close in Fault with end open(Strongest Source Removed) </t>
    </r>
    <r>
      <rPr>
        <b/>
        <sz val="10"/>
        <color rgb="FFFF0000"/>
        <rFont val="Arial"/>
        <family val="2"/>
      </rPr>
      <t>(Test 12 SDA)</t>
    </r>
  </si>
  <si>
    <t>&lt;-</t>
  </si>
  <si>
    <t>Eq 4.24</t>
  </si>
  <si>
    <t>Min Fault sec.</t>
  </si>
  <si>
    <t>Min Pickup sec.</t>
  </si>
  <si>
    <t>Eq 4.25</t>
  </si>
  <si>
    <t>Min Fault(SSR)</t>
  </si>
  <si>
    <r>
      <t xml:space="preserve">For 421, </t>
    </r>
    <r>
      <rPr>
        <b/>
        <sz val="10"/>
        <color indexed="12"/>
        <rFont val="Arial"/>
        <family val="2"/>
      </rPr>
      <t>PMV40</t>
    </r>
  </si>
  <si>
    <t>Eq 4.26</t>
  </si>
  <si>
    <t>Eq 4.27</t>
  </si>
  <si>
    <t>Note: Setting PSV58 to 1 in 411L will enable SEL411L canned logic for the stub bus protection. 411L relay will use 87LPP,87LQP, 87LGP  and alpha plane for stub bus protection.</t>
  </si>
  <si>
    <t>Explanation for Differential Pickup Settings Cases</t>
  </si>
  <si>
    <t>Case 1 : Line End Fault</t>
  </si>
  <si>
    <t>a) From Bus 1</t>
  </si>
  <si>
    <r>
      <t xml:space="preserve">Apply a line end fault from Relay A with the </t>
    </r>
    <r>
      <rPr>
        <b/>
        <sz val="12"/>
        <rFont val="Arial"/>
        <family val="2"/>
      </rPr>
      <t>strongest source behind the relay A</t>
    </r>
    <r>
      <rPr>
        <sz val="12"/>
        <rFont val="Arial"/>
        <family val="2"/>
      </rPr>
      <t xml:space="preserve"> removed. Note down the current at </t>
    </r>
    <r>
      <rPr>
        <b/>
        <sz val="12"/>
        <rFont val="Arial"/>
        <family val="2"/>
      </rPr>
      <t>relay A</t>
    </r>
    <r>
      <rPr>
        <sz val="12"/>
        <rFont val="Arial"/>
        <family val="2"/>
      </rPr>
      <t xml:space="preserve"> in the table</t>
    </r>
  </si>
  <si>
    <t>b) From Bus 2</t>
  </si>
  <si>
    <r>
      <t xml:space="preserve">Apply a line end fault from Relay B with the </t>
    </r>
    <r>
      <rPr>
        <b/>
        <sz val="12"/>
        <rFont val="Arial"/>
        <family val="2"/>
      </rPr>
      <t>strongest source behind the relay B</t>
    </r>
    <r>
      <rPr>
        <sz val="12"/>
        <rFont val="Arial"/>
        <family val="2"/>
      </rPr>
      <t xml:space="preserve"> removed. Note down the current at </t>
    </r>
    <r>
      <rPr>
        <b/>
        <sz val="12"/>
        <rFont val="Arial"/>
        <family val="2"/>
      </rPr>
      <t>relay B</t>
    </r>
    <r>
      <rPr>
        <sz val="12"/>
        <rFont val="Arial"/>
        <family val="2"/>
      </rPr>
      <t xml:space="preserve"> in the table</t>
    </r>
  </si>
  <si>
    <t>Case 2 : Bus Fault</t>
  </si>
  <si>
    <t>a) Bus Fault at Bus 2</t>
  </si>
  <si>
    <r>
      <t xml:space="preserve">Apply a bus fault at Bus 2 with the </t>
    </r>
    <r>
      <rPr>
        <b/>
        <sz val="12"/>
        <rFont val="Arial"/>
        <family val="2"/>
      </rPr>
      <t>strongest source</t>
    </r>
    <r>
      <rPr>
        <sz val="12"/>
        <rFont val="Arial"/>
        <family val="2"/>
      </rPr>
      <t xml:space="preserve"> to the bus fault removed. Stronges source might be at Bus 1 or Bus 2. Note Down the </t>
    </r>
    <r>
      <rPr>
        <b/>
        <sz val="12"/>
        <rFont val="Arial"/>
        <family val="2"/>
      </rPr>
      <t>total fault current at Bus 2</t>
    </r>
    <r>
      <rPr>
        <sz val="12"/>
        <rFont val="Arial"/>
        <family val="2"/>
      </rPr>
      <t>.</t>
    </r>
  </si>
  <si>
    <t>b) Bus Fault at Bus 1</t>
  </si>
  <si>
    <r>
      <t xml:space="preserve">Apply a bus fault at Bus 1 with the </t>
    </r>
    <r>
      <rPr>
        <b/>
        <sz val="12"/>
        <rFont val="Arial"/>
        <family val="2"/>
      </rPr>
      <t>strongest source</t>
    </r>
    <r>
      <rPr>
        <sz val="12"/>
        <rFont val="Arial"/>
        <family val="2"/>
      </rPr>
      <t xml:space="preserve"> to the bus fault removed. Stronges source might be at Bus 1 or Bus 2. Note Down the </t>
    </r>
    <r>
      <rPr>
        <b/>
        <sz val="12"/>
        <rFont val="Arial"/>
        <family val="2"/>
      </rPr>
      <t>total fault current at Bus 1.</t>
    </r>
  </si>
  <si>
    <t>Case 3: Fault On Tapped Transformer</t>
  </si>
  <si>
    <r>
      <t xml:space="preserve">Apply a bus fault on the low side of tapped tranformer. Record the </t>
    </r>
    <r>
      <rPr>
        <b/>
        <sz val="12"/>
        <rFont val="Arial"/>
        <family val="2"/>
      </rPr>
      <t>Total fault current</t>
    </r>
    <r>
      <rPr>
        <sz val="12"/>
        <rFont val="Arial"/>
        <family val="2"/>
      </rPr>
      <t xml:space="preserve"> on the primary side or HV side of the power transformer, this will be the total fault current contribution from Relay location A and B.</t>
    </r>
  </si>
  <si>
    <r>
      <t xml:space="preserve">Note: If the power transformer on remote or local </t>
    </r>
    <r>
      <rPr>
        <b/>
        <u/>
        <sz val="12"/>
        <rFont val="Arial"/>
        <family val="2"/>
      </rPr>
      <t>operating/transfer</t>
    </r>
    <r>
      <rPr>
        <sz val="12"/>
        <rFont val="Arial"/>
        <family val="2"/>
      </rPr>
      <t xml:space="preserve"> bus is connected after the CT/Breaker location then this transformer should be condidered as Tapped transformer. This is generally observed at single breaker station where one breaker is used to isolate two lines.</t>
    </r>
  </si>
  <si>
    <t xml:space="preserve">Note: Multiple tapped transformers could be in parallel and need to be taken into account for the fault analysis with the low side fault. </t>
  </si>
  <si>
    <t>Enable (1)</t>
  </si>
  <si>
    <t>ON THIS SHEET ALL VALUES SHOULD BE FROM ASPEN FAULT SIMULATIONS !!!</t>
  </si>
  <si>
    <t>Zone 3 Section</t>
  </si>
  <si>
    <t>(Selection of the Longest Second Line with Infeed)</t>
  </si>
  <si>
    <t>Enter volts and amps at the relay location</t>
  </si>
  <si>
    <t>Enter all lines or autotransformers leaving remote terminal &amp; PU currents</t>
  </si>
  <si>
    <t>Apparent Z at relay Location in Primary Ohms</t>
  </si>
  <si>
    <t>PU Volts</t>
  </si>
  <si>
    <t>PU Amps</t>
  </si>
  <si>
    <t>(Relay Location)</t>
  </si>
  <si>
    <t>(Remote)</t>
  </si>
  <si>
    <t>PU Amp 2nd</t>
  </si>
  <si>
    <t>Line or Auto</t>
  </si>
  <si>
    <t>Magnitude</t>
  </si>
  <si>
    <t>Angle in Deg</t>
  </si>
  <si>
    <t>Circuit Number CAPE</t>
  </si>
  <si>
    <t>[1]</t>
  </si>
  <si>
    <t>o</t>
  </si>
  <si>
    <t>[2]</t>
  </si>
  <si>
    <t>[3]</t>
  </si>
  <si>
    <t>[4]</t>
  </si>
  <si>
    <t>[5]</t>
  </si>
  <si>
    <t>[6]</t>
  </si>
  <si>
    <t>[7]</t>
  </si>
  <si>
    <t>[8]</t>
  </si>
  <si>
    <t>[9]</t>
  </si>
  <si>
    <t>[10]</t>
  </si>
  <si>
    <t>[11]</t>
  </si>
  <si>
    <t>[12]</t>
  </si>
  <si>
    <t>Zone 2 Section (for lines with tapped line(s))</t>
  </si>
  <si>
    <t>(Selection of the Longest Tapped Line with Infeed)</t>
  </si>
  <si>
    <t>LEAVE BLANK WHEN NOT USED</t>
  </si>
  <si>
    <t>Enter all tapped lines leaving this line &amp; PU currents</t>
  </si>
  <si>
    <t>(Tap)</t>
  </si>
  <si>
    <t>Line</t>
  </si>
  <si>
    <t>(tapped line)</t>
  </si>
  <si>
    <t xml:space="preserve">Nominal System Voltage: </t>
  </si>
  <si>
    <t xml:space="preserve">Base Ohms (100MVA Base): </t>
  </si>
  <si>
    <t xml:space="preserve">Line Limit used for Calcs: </t>
  </si>
  <si>
    <t>Line Length</t>
  </si>
  <si>
    <t>mile</t>
  </si>
  <si>
    <t>(Pos)</t>
  </si>
  <si>
    <t xml:space="preserve">CTR: </t>
  </si>
  <si>
    <t>(Longest 2nd line)</t>
  </si>
  <si>
    <t>(from infeed sheet)</t>
  </si>
  <si>
    <t>(Zero)</t>
  </si>
  <si>
    <t xml:space="preserve">Calculated Longest Line With Infeed: </t>
  </si>
  <si>
    <t>(Shortest 2nd line)</t>
  </si>
  <si>
    <t xml:space="preserve">Longest Second Line If Different: </t>
  </si>
  <si>
    <t>(Zone 2 Bus)</t>
  </si>
  <si>
    <t xml:space="preserve">Calculated Shortest Second Line: </t>
  </si>
  <si>
    <t xml:space="preserve">Shortest Second Lined If Different: </t>
  </si>
  <si>
    <t>List reasons on "Notes &amp; Additional Calcs" tab if calculated longest or shortest lines are not used</t>
  </si>
  <si>
    <t>ZONE 1 CALCULATION</t>
  </si>
  <si>
    <t>Rule:</t>
  </si>
  <si>
    <r>
      <t xml:space="preserve">Z1 should be set as per manufacturer recommendation. It should normally be set to </t>
    </r>
    <r>
      <rPr>
        <b/>
        <sz val="10"/>
        <rFont val="Arial"/>
        <family val="2"/>
      </rPr>
      <t>80%</t>
    </r>
    <r>
      <rPr>
        <sz val="10"/>
        <rFont val="Arial"/>
        <family val="2"/>
      </rPr>
      <t xml:space="preserve"> of Zline</t>
    </r>
  </si>
  <si>
    <t>Note:</t>
  </si>
  <si>
    <t>If line length is less than 1 mile, Z1 should be disabled.</t>
  </si>
  <si>
    <t xml:space="preserve"> Z line</t>
  </si>
  <si>
    <t>) x(</t>
  </si>
  <si>
    <t>deg.</t>
  </si>
  <si>
    <t>Eq 6.1</t>
  </si>
  <si>
    <t>Z of First Line</t>
  </si>
  <si>
    <t>Multiplier by 1</t>
  </si>
  <si>
    <t>Z line (pri)</t>
  </si>
  <si>
    <t>Z line (sec)</t>
  </si>
  <si>
    <t>Z Angle</t>
  </si>
  <si>
    <t xml:space="preserve"> Zo line</t>
  </si>
  <si>
    <t>Eq 6.2</t>
  </si>
  <si>
    <t>Zo of First Line</t>
  </si>
  <si>
    <t>Zo line (pri)</t>
  </si>
  <si>
    <t>Zo line (sec)</t>
  </si>
  <si>
    <t>Zo Angle</t>
  </si>
  <si>
    <t>Z1 (Sec)</t>
  </si>
  <si>
    <t>Eq 6.3</t>
  </si>
  <si>
    <t>S 6.1.2.1</t>
  </si>
  <si>
    <t>Z First Line</t>
  </si>
  <si>
    <t>Z1 Sec. Reach</t>
  </si>
  <si>
    <t>Angle</t>
  </si>
  <si>
    <r>
      <t xml:space="preserve">Z1 CAPE- 80% of First Line Fault CAPE SDA Studies Fault 1LG and 3LG.  Outage local source and lines mutually couples. </t>
    </r>
    <r>
      <rPr>
        <b/>
        <sz val="10"/>
        <color rgb="FFFF0000"/>
        <rFont val="Arial"/>
        <family val="2"/>
      </rPr>
      <t>(Test 3 SDA)</t>
    </r>
    <r>
      <rPr>
        <b/>
        <sz val="10"/>
        <rFont val="Arial"/>
        <family val="2"/>
      </rPr>
      <t xml:space="preserve">  </t>
    </r>
    <r>
      <rPr>
        <b/>
        <u/>
        <sz val="10"/>
        <color rgb="FFFF00FF"/>
        <rFont val="Arial"/>
        <family val="2"/>
      </rPr>
      <t>Note: Divided by 08 until we fix MAC code version 1.1.0  in SDA</t>
    </r>
  </si>
  <si>
    <t>Min Z (Pri) Reach</t>
  </si>
  <si>
    <t>Z line (sec) CAPE SDA</t>
  </si>
  <si>
    <t>Max Z (Pri) Reach</t>
  </si>
  <si>
    <t>This setting will rounddown to ensure it does not overrreach.</t>
  </si>
  <si>
    <t xml:space="preserve">Notes:  </t>
  </si>
  <si>
    <t>Z1P and Z1MG</t>
  </si>
  <si>
    <t>Eq 6.4</t>
  </si>
  <si>
    <t>S 6.1</t>
  </si>
  <si>
    <t>ZONE 2 / ZONE PILOT CALC</t>
  </si>
  <si>
    <t>Z2/Zp should be between 100%xZline+50%x2ndZline and 120%xZline</t>
  </si>
  <si>
    <t>If Z2 calculated reach is farther than half the next shortest line, the timer must be set to coordinate with the next station.</t>
  </si>
  <si>
    <t>Z2/Zp (rule)</t>
  </si>
  <si>
    <t>[ (</t>
  </si>
  <si>
    <t>) +</t>
  </si>
  <si>
    <t>x (</t>
  </si>
  <si>
    <t>) ] x</t>
  </si>
  <si>
    <t>Eq 6.5</t>
  </si>
  <si>
    <t>S 6.2.2.1</t>
  </si>
  <si>
    <t>First Line</t>
  </si>
  <si>
    <t>Shortest 2nd Line</t>
  </si>
  <si>
    <t>Z2 (Pri)</t>
  </si>
  <si>
    <t>Z2 ANG</t>
  </si>
  <si>
    <t>Z2 (rule)</t>
  </si>
  <si>
    <t>&lt;=</t>
  </si>
  <si>
    <t>(maximum Z2/Zp reach - normally applied)</t>
  </si>
  <si>
    <t>Z2/Z2p (sec)</t>
  </si>
  <si>
    <t>Eq 6.6</t>
  </si>
  <si>
    <t>S 6.2.2</t>
  </si>
  <si>
    <t>Z2 (Sec)</t>
  </si>
  <si>
    <t>Z2/Z2p ANG</t>
  </si>
  <si>
    <t>Eq 6.7</t>
  </si>
  <si>
    <r>
      <t xml:space="preserve">Z2 CAPE-  50% of line Fault on the shortest adjacent line:  CAPE SDA Studies Fault 1LG and 3LG. Outage local sources and lines mutually coupled.  If the shortest 2nd line is an autotransformer, then it is skipped. 
</t>
    </r>
    <r>
      <rPr>
        <b/>
        <sz val="10"/>
        <color rgb="FFFF0000"/>
        <rFont val="Arial"/>
        <family val="2"/>
      </rPr>
      <t>(Test 5 SDA)</t>
    </r>
  </si>
  <si>
    <t>Min Z2 (Pri) Reach</t>
  </si>
  <si>
    <t>Z2 (sec) CAPE SDA</t>
  </si>
  <si>
    <t>Max Z2 (Pri) Reach</t>
  </si>
  <si>
    <t>Minimum Z2 reach to ensure proper coverage of the line = 120% x Zline</t>
  </si>
  <si>
    <t>Z2 Min. Reach</t>
  </si>
  <si>
    <t>Z2 (Min)</t>
  </si>
  <si>
    <t>Eq 6.8</t>
  </si>
  <si>
    <t>Zline</t>
  </si>
  <si>
    <t>CTR/PTR</t>
  </si>
  <si>
    <t>Zline ANG</t>
  </si>
  <si>
    <t>Eq 6.9</t>
  </si>
  <si>
    <r>
      <t xml:space="preserve">Z2  120% of line Fault at remote bus:  CAPE SDA Studies Fault 1LG and 3LG. Outage local sources and lines mutually coupled.  
</t>
    </r>
    <r>
      <rPr>
        <b/>
        <sz val="10"/>
        <color rgb="FFFF0000"/>
        <rFont val="Arial"/>
        <family val="2"/>
      </rPr>
      <t>(Test 4 SDA)</t>
    </r>
  </si>
  <si>
    <t>Z2 (Sec) CAPE SDA</t>
  </si>
  <si>
    <t>(larger of the two)</t>
  </si>
  <si>
    <t>Eq 6.10</t>
  </si>
  <si>
    <t>Z2 Min. Arc Reach</t>
  </si>
  <si>
    <t>Zline Ang. (as above-Z1calc)</t>
  </si>
  <si>
    <t>Eq 6.11</t>
  </si>
  <si>
    <t>Z (Pri)</t>
  </si>
  <si>
    <t>Z (sec)</t>
  </si>
  <si>
    <t>Z arc (sec)</t>
  </si>
  <si>
    <t>Complete the next section if  there is a tapped line.</t>
  </si>
  <si>
    <t>Z to End of Tapped Line with Infeed:</t>
  </si>
  <si>
    <t>Longest Tapped line with Infeed</t>
  </si>
  <si>
    <t xml:space="preserve"> Tapped Line</t>
  </si>
  <si>
    <t>&lt;= from infeed sheet</t>
  </si>
  <si>
    <t>Z2 w/Infeed</t>
  </si>
  <si>
    <t>Eq 6.12</t>
  </si>
  <si>
    <t>Z of Line to Longest Tap with Infeed</t>
  </si>
  <si>
    <t>Eq 6.13</t>
  </si>
  <si>
    <r>
      <t xml:space="preserve">Z2  120% of End of Tapped Line.  Fault at the end of the longest tapped line:  CAPE SDA Studies Fault 1LG and 3LG. Outage local sources and lines mutually coupled.  </t>
    </r>
    <r>
      <rPr>
        <b/>
        <sz val="10"/>
        <color rgb="FFFF0000"/>
        <rFont val="Arial"/>
        <family val="2"/>
      </rPr>
      <t>(Test 6 SDA)</t>
    </r>
  </si>
  <si>
    <t>Z2 (Sec) CAPE SDA Infeed</t>
  </si>
  <si>
    <t>If 100% Zline + 50% 2nd shortest is used, it will rounddown to ensure it does not overreach.  If 120% Zline or 3 Ohms Pri or 120% of impedance to end of tapped line with infeed is used, it will round to nearest hundredth to ensure full coverage.</t>
  </si>
  <si>
    <t>Z2P and Z2MG</t>
  </si>
  <si>
    <t>Eq 6.14</t>
  </si>
  <si>
    <t>Extended Pilot Reach</t>
  </si>
  <si>
    <t>Extended Pilot Reach Criteria 1</t>
  </si>
  <si>
    <t>Extended Pilot</t>
  </si>
  <si>
    <t>Eq 6.15</t>
  </si>
  <si>
    <t>ZP (Pri)</t>
  </si>
  <si>
    <t>Eq 6.16</t>
  </si>
  <si>
    <t>Is remote station a ring bus or breaker and a half scheme?</t>
  </si>
  <si>
    <r>
      <t xml:space="preserve">Extended Pilot Reach 200% of Line.  Apply Fault at remote bust of the line:  CAPE SDA Studies Fault 1LG and 3LG. Outage local sources and lines mutually coupled.  </t>
    </r>
    <r>
      <rPr>
        <b/>
        <sz val="10"/>
        <color rgb="FFFF0000"/>
        <rFont val="Arial"/>
        <family val="2"/>
      </rPr>
      <t>(Test 7 SDA)</t>
    </r>
  </si>
  <si>
    <t>Minimum Z (Pri). Reach</t>
  </si>
  <si>
    <t>Maximum Z (Pri) Reach</t>
  </si>
  <si>
    <t>Extended Pilot Reach Criteria 2</t>
  </si>
  <si>
    <t>x ((</t>
  </si>
  <si>
    <t>) +(</t>
  </si>
  <si>
    <t>)) =</t>
  </si>
  <si>
    <t>Eq 6.17</t>
  </si>
  <si>
    <t>S 7.2</t>
  </si>
  <si>
    <t>Z of Longest Adjacent Second Line</t>
  </si>
  <si>
    <t>Eq 6.18</t>
  </si>
  <si>
    <r>
      <t xml:space="preserve">Extended Pilot Reach 110% of Line + Longest Adjecent 2nd Line.  Apply Fault at remote bust of the longest adjacent 2nd line:  CAPE SDA Studies Fault 1LG and 3LG. Outage local sources and lines mutually coupled. </t>
    </r>
    <r>
      <rPr>
        <b/>
        <sz val="10"/>
        <color rgb="FFFF0000"/>
        <rFont val="Arial"/>
        <family val="2"/>
      </rPr>
      <t>(Test 8 SDA)</t>
    </r>
  </si>
  <si>
    <t>Minimum Z Pri Reach</t>
  </si>
  <si>
    <t>Maximum Z Pri Reach</t>
  </si>
  <si>
    <t>PCT01PU (421 ONLY)</t>
  </si>
  <si>
    <t>Eq 6.19</t>
  </si>
  <si>
    <t>Next section only used if  there is a tapped line.</t>
  </si>
  <si>
    <t>67G2D (311 ONLY)</t>
  </si>
  <si>
    <t>Eq 6.20</t>
  </si>
  <si>
    <t>x[(</t>
  </si>
  <si>
    <t>) + (</t>
  </si>
  <si>
    <t>)] x</t>
  </si>
  <si>
    <t>Eq 6.21</t>
  </si>
  <si>
    <t>Z of Longest Tapped Line</t>
  </si>
  <si>
    <t>Eq 6.22</t>
  </si>
  <si>
    <r>
      <t xml:space="preserve">Extended Pilot Reach 200% of longest tap with infeed.  Apply Fault at remote bust of the taps with infeed:  CAPE SDA Studies Fault 1LG and 3LG. Outage local sources and lines mutually coupled. </t>
    </r>
    <r>
      <rPr>
        <b/>
        <sz val="10"/>
        <color rgb="FFFF0000"/>
        <rFont val="Arial"/>
        <family val="2"/>
      </rPr>
      <t>(Test 9 SDA)</t>
    </r>
  </si>
  <si>
    <t>Minimum Z (Pri) Reach</t>
  </si>
  <si>
    <t>Limit reach into distribution transformer:</t>
  </si>
  <si>
    <t>)+(</t>
  </si>
  <si>
    <t>) x</t>
  </si>
  <si>
    <t>Eq 6.29</t>
  </si>
  <si>
    <t>% of Xfmer</t>
  </si>
  <si>
    <t>Impedance of Transformer</t>
  </si>
  <si>
    <t>Impedance of Line up to Transformer</t>
  </si>
  <si>
    <t>80% into XFMR(Pri)</t>
  </si>
  <si>
    <t>Eq 6.30</t>
  </si>
  <si>
    <t>This setting will round to the nearest hundredth.</t>
  </si>
  <si>
    <r>
      <t>Limit Reach into Power Transformer 80% of XFMR.  Apply Fault at the end of the shortest tapped line and remote end power transformers without infeed:  CAPE SDA Studies Fault 1LG and 3LG. Outage local sources and lines mutually coupled.</t>
    </r>
    <r>
      <rPr>
        <b/>
        <sz val="10"/>
        <color rgb="FFFF0000"/>
        <rFont val="Arial"/>
        <family val="2"/>
      </rPr>
      <t xml:space="preserve"> (Test 10 SDA)</t>
    </r>
  </si>
  <si>
    <t>Z5P and Z5MG (421 ONLY)</t>
  </si>
  <si>
    <t>Eq 6.23</t>
  </si>
  <si>
    <t>ZONE 3 FORWARD CALCULATION</t>
  </si>
  <si>
    <t xml:space="preserve">Rule: </t>
  </si>
  <si>
    <t>Z3 should be set to 120% of (Zline + Z_2nd_line x Infeed), but no more than Zload.</t>
  </si>
  <si>
    <t>Longest 2nd line with infeed</t>
  </si>
  <si>
    <t>Z3 Fwd</t>
  </si>
  <si>
    <t>Z3Fwd Sec.</t>
  </si>
  <si>
    <t>Eq 6.24</t>
  </si>
  <si>
    <t>S 6.3.2.1</t>
  </si>
  <si>
    <t>Imp to the end of the longest 2nd line from the relay</t>
  </si>
  <si>
    <t>Z3Fwd Ang</t>
  </si>
  <si>
    <t>Eq 6.25</t>
  </si>
  <si>
    <r>
      <t xml:space="preserve">Zone 3 Forward Reach Test (120% of (Line+2ndline)).  Apply Fault at remote bus of the longest 2nd line:  CAPE SDA Studies Fault 1LG and 3LG. Outage local sources and lines mutually coupled. </t>
    </r>
    <r>
      <rPr>
        <b/>
        <sz val="10"/>
        <color rgb="FFFF0000"/>
        <rFont val="Arial"/>
        <family val="2"/>
      </rPr>
      <t>(Test 11 SDA)</t>
    </r>
  </si>
  <si>
    <t>Max Z3Fwd Sec.</t>
  </si>
  <si>
    <t>Max. Z3Fwd</t>
  </si>
  <si>
    <r>
      <t>=</t>
    </r>
    <r>
      <rPr>
        <sz val="9"/>
        <rFont val="Arial"/>
        <family val="2"/>
      </rPr>
      <t xml:space="preserve"> (</t>
    </r>
  </si>
  <si>
    <t>/ (</t>
  </si>
  <si>
    <t>Eq 6.26</t>
  </si>
  <si>
    <t>Undervoltage</t>
  </si>
  <si>
    <t>Base V</t>
  </si>
  <si>
    <t>Loadability Limit</t>
  </si>
  <si>
    <t>Max.Z3 Pri reach</t>
  </si>
  <si>
    <t>Eq 6.27</t>
  </si>
  <si>
    <t>Note:  For 115kV and above the max Z3Fwd is based on 85% undervoltage, anything below 115kV is based on 91.3% undervoltage.  Max Z3Fwd is not necessary when Load Encroachment is used.</t>
  </si>
  <si>
    <t>Custom PRC Zone 3 mho circle MTA Angle for the relays which have different MTA than Line angle</t>
  </si>
  <si>
    <t>Note: This is only used for Electromechanical relays and Non-SEL relays for PRC-025</t>
  </si>
  <si>
    <t>Load Encroachment</t>
  </si>
  <si>
    <t xml:space="preserve">ZLF, ZLR </t>
  </si>
  <si>
    <t>Eq 6.28</t>
  </si>
  <si>
    <t>(CTR / PTR)</t>
  </si>
  <si>
    <t>PLAF</t>
  </si>
  <si>
    <t>NLAF</t>
  </si>
  <si>
    <t>Min Resistive Coverage Available After Load Encroachment</t>
  </si>
  <si>
    <t>ZLF*SIN(MTA-PLAF)</t>
  </si>
  <si>
    <t>Sec ohms</t>
  </si>
  <si>
    <t>SIN(180-MTA)</t>
  </si>
  <si>
    <r>
      <t xml:space="preserve">Zone 3 Forward Reach into Power Transformer.  Test the 2nd line tapped transfromers with the 2nd line end open and all infeed outaged at main line end except for main line  and 2nd line. Report line impedance to transformers + 80 % of transformer impedance:  CAPE SDA Studies Fault 1LG and 3LG. Outage local sources and lines mutually coupled. </t>
    </r>
    <r>
      <rPr>
        <b/>
        <sz val="10"/>
        <color rgb="FFFF0000"/>
        <rFont val="Arial"/>
        <family val="2"/>
      </rPr>
      <t>(Test 12 SDA)</t>
    </r>
  </si>
  <si>
    <t>Load Impedence</t>
  </si>
  <si>
    <t>Load Z(L-Pro)</t>
  </si>
  <si>
    <t>)+J(</t>
  </si>
  <si>
    <t>Eq 6.31</t>
  </si>
  <si>
    <t>Max Z3Fwd Sec</t>
  </si>
  <si>
    <t>cos(PLAF)</t>
  </si>
  <si>
    <t>sin(PLAF)</t>
  </si>
  <si>
    <t>(Load Impedence)</t>
  </si>
  <si>
    <t>Z4P and Z4MG</t>
  </si>
  <si>
    <t>Eq 6.32</t>
  </si>
  <si>
    <t>Note:  If Z3Fwd reaches further than 80% into any distribution transformer, consider applying “Voltage Supervision” (if possible), increasing Z3Fwd timers, or reducing Z3Fwd reach and relying on sequential tripping.</t>
  </si>
  <si>
    <t xml:space="preserve">  VOLTAGE SUPERVISION FOR Z3Fwd</t>
  </si>
  <si>
    <r>
      <t xml:space="preserve">Set phase voltage supervision at 0.15 per unit less than minimum voltage experienced at the relay for Case a or b
</t>
    </r>
    <r>
      <rPr>
        <b/>
        <sz val="10"/>
        <rFont val="Arial"/>
        <family val="2"/>
      </rPr>
      <t>Case a) Tapped POwer Transformer  or  Distribution Power Transformers behind or Infront of the relay  or Special Purpose Autotransformers</t>
    </r>
    <r>
      <rPr>
        <sz val="10"/>
        <rFont val="Arial"/>
        <family val="2"/>
      </rPr>
      <t xml:space="preserve">          
a fault on the secondary of a  substation transformer.  Remote source is opened.  Perform n-1 contingency of sources behind relay location to acquire the minimum relay voltage.   </t>
    </r>
  </si>
  <si>
    <t>All the remote Bus Power transformers, Local Bus, and the power transformers behind the relay needs to be studied.</t>
  </si>
  <si>
    <t>Case b) Remote Bus Power Transformers or Special Purpose Autotransformers (not Regular Transformers)</t>
  </si>
  <si>
    <t>i) Remove all sources into remote bus except for the line being protected and the transformers on the remote bus.  This represents a station being restored after a bus differential operation.  Perform three-phase fault on secondary of the transformer.  Do not take any other circuits out of service.</t>
  </si>
  <si>
    <t>ii) Place three-phase on secondary of each remote bus transformer.  Take one source at remote bus at a time for each fault to get the lowest voltage at the relay.  Also, take one source at local relay bus at a time for each fault to get the lowest relay voltage.  Choose the minimum voltage for all cases.</t>
  </si>
  <si>
    <t>iii) If the remote bus consists of several buses connected with tie breakers, consider the tie breaker as an n-1 contingency just as an n-1 contingency on lines at the local or remote bus.  Choose the minimum voltage at the relay that is produced for either an n-1 contingency outage at the local bus, or as an n-1 outage at the remote bus, or the tie breaker opened when performing (i) and (ii)</t>
  </si>
  <si>
    <t>*SPECIAL PURPOSE AUTOTRANSFORMERS – These are autotransformers that exclusively provide a source to a customer whereby the customer’s internal system has time delayed coordinated relaying that could be slowers than an overreach Zone 3 reach from the Entergy transmission system.  For such usage, Entergy “must” adhere to preventing Zone 3 from causing a total outage to the customer’s facility sourced by the “special” autotransformer.  If voltage supervision cannot prevent this type of overreach, then extremely long time delay in Zone 3 may be required.</t>
  </si>
  <si>
    <t>Eq 12.17</t>
  </si>
  <si>
    <t xml:space="preserve">Voltage at relay (in per unit):  </t>
  </si>
  <si>
    <t>Note:  Fault performed with XXX - XXX out of service.</t>
  </si>
  <si>
    <t>Eq 12.18</t>
  </si>
  <si>
    <r>
      <t xml:space="preserve">Voltage  Case a) CAPE SDA:  </t>
    </r>
    <r>
      <rPr>
        <b/>
        <sz val="10"/>
        <color rgb="FFFF0000"/>
        <rFont val="Arial"/>
        <family val="2"/>
      </rPr>
      <t>(Test 13 SDA)</t>
    </r>
  </si>
  <si>
    <t xml:space="preserve">Note: Minimum Voltage Check for Voltage Supervision - Fault on secondary of tapped power transformers or power transformers behind or in front of the relay with remote end opened. </t>
  </si>
  <si>
    <r>
      <t xml:space="preserve">Voltage  Case b-i) CAPE SDA: </t>
    </r>
    <r>
      <rPr>
        <b/>
        <sz val="10"/>
        <color rgb="FFFF0000"/>
        <rFont val="Arial"/>
        <family val="2"/>
      </rPr>
      <t>(Test 14 SDA)</t>
    </r>
  </si>
  <si>
    <t xml:space="preserve">Note: Minimum Voltage Check for Voltage Supervision - Fault on secondary of remote bus power transformer. Fault Types 1LG, 3LG </t>
  </si>
  <si>
    <r>
      <t xml:space="preserve">Voltage  Case b-ii) CAPE SDA:  </t>
    </r>
    <r>
      <rPr>
        <b/>
        <sz val="10"/>
        <color rgb="FFFF0000"/>
        <rFont val="Arial"/>
        <family val="2"/>
      </rPr>
      <t>(Test 15 SDA)</t>
    </r>
  </si>
  <si>
    <t xml:space="preserve">Note: Minimum Voltage Check for Voltage Supervision - Fault on secondary of remote bus power transformer.  Outage remote bus sources including Bus-ties, and local bus sources  one at time. Fault Types 1LG, 3LG </t>
  </si>
  <si>
    <t xml:space="preserve">Calculated supervision setting (in per unit):  </t>
  </si>
  <si>
    <t>Eq 12.19</t>
  </si>
  <si>
    <t xml:space="preserve">If Different (in per unit):  </t>
  </si>
  <si>
    <r>
      <rPr>
        <b/>
        <sz val="10"/>
        <color indexed="12"/>
        <rFont val="Arial"/>
        <family val="2"/>
      </rPr>
      <t>(421 &amp; 411L) PMV10</t>
    </r>
    <r>
      <rPr>
        <sz val="10"/>
        <rFont val="Arial"/>
        <family val="2"/>
      </rPr>
      <t xml:space="preserve"> =</t>
    </r>
  </si>
  <si>
    <r>
      <rPr>
        <b/>
        <sz val="10"/>
        <color indexed="12"/>
        <rFont val="Arial"/>
        <family val="2"/>
      </rPr>
      <t>(421 &amp; 411L) PMV11</t>
    </r>
    <r>
      <rPr>
        <sz val="10"/>
        <rFont val="Arial"/>
        <family val="2"/>
      </rPr>
      <t xml:space="preserve"> =</t>
    </r>
  </si>
  <si>
    <t>Z3 Voltage Supervision =</t>
  </si>
  <si>
    <t>V Sec.</t>
  </si>
  <si>
    <t>Eq 12.20</t>
  </si>
  <si>
    <t>Z3 3V0 Supervision =</t>
  </si>
  <si>
    <r>
      <rPr>
        <b/>
        <sz val="10"/>
        <color indexed="12"/>
        <rFont val="Arial"/>
        <family val="2"/>
      </rPr>
      <t>(421 &amp; 411L) PSV05</t>
    </r>
    <r>
      <rPr>
        <sz val="10"/>
        <rFont val="Arial"/>
        <family val="2"/>
      </rPr>
      <t xml:space="preserve"> =</t>
    </r>
  </si>
  <si>
    <t>Eq 12.21</t>
  </si>
  <si>
    <t>Notes:</t>
  </si>
  <si>
    <t>[ref 3]</t>
  </si>
  <si>
    <t>Eq 12.22</t>
  </si>
  <si>
    <r>
      <t xml:space="preserve">(311) 59P </t>
    </r>
    <r>
      <rPr>
        <b/>
        <sz val="10"/>
        <rFont val="Arial"/>
        <family val="2"/>
      </rPr>
      <t>=</t>
    </r>
  </si>
  <si>
    <t>Eq 12.23</t>
  </si>
  <si>
    <r>
      <t xml:space="preserve">(311) 59N2P </t>
    </r>
    <r>
      <rPr>
        <b/>
        <sz val="10"/>
        <rFont val="Arial"/>
        <family val="2"/>
      </rPr>
      <t>=</t>
    </r>
  </si>
  <si>
    <t>Eq 12.24</t>
  </si>
  <si>
    <t>ZONE 3 REVERSE CALCULATION</t>
  </si>
  <si>
    <t>Z3Rev should be 150% x (Remote ZPilot-Zline) but not smaller than 25% of the line maximum load.</t>
  </si>
  <si>
    <t>Is Zone 3 reverse PRC025 compliable</t>
  </si>
  <si>
    <t>No</t>
  </si>
  <si>
    <t>Note: Please check with PRC025 SME to confirm that the electro mechanical Relay looking reverse into generation system is NERC PRC-025 compliable. This might also applicable if Z3 Reverse element is used for tripping.</t>
  </si>
  <si>
    <t>Z3Rev</t>
  </si>
  <si>
    <t>-</t>
  </si>
  <si>
    <t>Eq 6.33</t>
  </si>
  <si>
    <t>S 6.4.2.1</t>
  </si>
  <si>
    <t>Remote Z Pilot(Pri)</t>
  </si>
  <si>
    <t>Z First Line(Pri)</t>
  </si>
  <si>
    <t>Pri. Reach</t>
  </si>
  <si>
    <t>Sec. Reach</t>
  </si>
  <si>
    <t>ZRev Sec Reach</t>
  </si>
  <si>
    <t xml:space="preserve"> Station Name</t>
  </si>
  <si>
    <t>Eq 6.34</t>
  </si>
  <si>
    <t>Minimum Z3Rev</t>
  </si>
  <si>
    <t>larger of the two</t>
  </si>
  <si>
    <t>Eq 6.35</t>
  </si>
  <si>
    <t xml:space="preserve">Min Z3Rev  = </t>
  </si>
  <si>
    <t xml:space="preserve">x [( </t>
  </si>
  <si>
    <t>)/ (</t>
  </si>
  <si>
    <t>Eq 6.36</t>
  </si>
  <si>
    <r>
      <t>Cos (</t>
    </r>
    <r>
      <rPr>
        <sz val="7"/>
        <rFont val="Symbol"/>
        <family val="1"/>
        <charset val="2"/>
      </rPr>
      <t>q</t>
    </r>
    <r>
      <rPr>
        <sz val="7"/>
        <rFont val="Arial"/>
        <family val="2"/>
      </rPr>
      <t>m - 40)</t>
    </r>
  </si>
  <si>
    <t>Max Z3Rev due to load limit</t>
  </si>
  <si>
    <t>Note:  For 115kV and above these Z3Rev reaches are based on 85% undervoltage, anything below 115kV is based on 91.3% undervoltage.  Max Z3Rev is not necessary when Load Encroachment is used.</t>
  </si>
  <si>
    <t>Max Z3Rev  =</t>
  </si>
  <si>
    <t>Max. Z3Rev Sec reach</t>
  </si>
  <si>
    <t>Eq 6.37</t>
  </si>
  <si>
    <t>Max.Z3 (Pri)</t>
  </si>
  <si>
    <t>Eq 6.38</t>
  </si>
  <si>
    <t>Z3P and Z3MG</t>
  </si>
  <si>
    <t>Eq 6.39</t>
  </si>
  <si>
    <t>If different</t>
  </si>
  <si>
    <t>Ang</t>
  </si>
  <si>
    <t>Imp</t>
  </si>
  <si>
    <t>Yes</t>
  </si>
  <si>
    <t>Second Lines</t>
  </si>
  <si>
    <t>YES</t>
  </si>
  <si>
    <t>NO</t>
  </si>
  <si>
    <t>RELAY SETTING CALCULATIONS</t>
  </si>
  <si>
    <t>Line Volts=</t>
  </si>
  <si>
    <t>(from Zone Dist Imp-Main)</t>
  </si>
  <si>
    <t>From:</t>
  </si>
  <si>
    <t>CTR=</t>
  </si>
  <si>
    <t>To:</t>
  </si>
  <si>
    <t>PTR=</t>
  </si>
  <si>
    <t>Rpos</t>
  </si>
  <si>
    <t>PU</t>
  </si>
  <si>
    <r>
      <t>I</t>
    </r>
    <r>
      <rPr>
        <sz val="7"/>
        <rFont val="Arial"/>
        <family val="2"/>
      </rPr>
      <t>Load</t>
    </r>
    <r>
      <rPr>
        <sz val="10"/>
        <rFont val="Arial"/>
        <family val="2"/>
      </rPr>
      <t xml:space="preserve"> (Max Load)=</t>
    </r>
  </si>
  <si>
    <t>Xpos</t>
  </si>
  <si>
    <t>CTR/PTR=</t>
  </si>
  <si>
    <t>Base Ohm=</t>
  </si>
  <si>
    <t>Distance</t>
  </si>
  <si>
    <t>Mi</t>
  </si>
  <si>
    <t>Positive Seq Fault Locator Settings</t>
  </si>
  <si>
    <t>Zp</t>
  </si>
  <si>
    <t>+ j</t>
  </si>
  <si>
    <t>Eq 7.1</t>
  </si>
  <si>
    <t>Rpos (PU)</t>
  </si>
  <si>
    <t>Xpos (PU)</t>
  </si>
  <si>
    <t>Base Ohm</t>
  </si>
  <si>
    <t>Rpos (pri)</t>
  </si>
  <si>
    <t>Xpos (pri)</t>
  </si>
  <si>
    <t>Rpos (sec)</t>
  </si>
  <si>
    <t>Xpos (sec)</t>
  </si>
  <si>
    <t>Zp - pos. sequence impedance</t>
  </si>
  <si>
    <t>Zp (sec)</t>
  </si>
  <si>
    <t>Eq 7.2</t>
  </si>
  <si>
    <t>Zp (PU)</t>
  </si>
  <si>
    <t>ZpAng (deg)</t>
  </si>
  <si>
    <t>Zp Pri(Ohm)</t>
  </si>
  <si>
    <t>Zp Sec(Ohm)</t>
  </si>
  <si>
    <t>Z1MAG</t>
  </si>
  <si>
    <t>Ohm (sec)</t>
  </si>
  <si>
    <t>Z1ANG</t>
  </si>
  <si>
    <t>deg</t>
  </si>
  <si>
    <t>Eq 7.3</t>
  </si>
  <si>
    <t>Zero Seq Fault Locator Settings</t>
  </si>
  <si>
    <t>Zo (pri)</t>
  </si>
  <si>
    <t>=   (</t>
  </si>
  <si>
    <t>Eq 7.4</t>
  </si>
  <si>
    <t>Ro (PU)</t>
  </si>
  <si>
    <t>Xo (PU)</t>
  </si>
  <si>
    <t>Ro (pri)</t>
  </si>
  <si>
    <t>Xo (pri)</t>
  </si>
  <si>
    <t>Ro (sec)</t>
  </si>
  <si>
    <t>Xo (sec)</t>
  </si>
  <si>
    <t>Zo - zero sequence impedance</t>
  </si>
  <si>
    <t>Zo (PU)</t>
  </si>
  <si>
    <t>Zo (sec)</t>
  </si>
  <si>
    <t>Eq 7.5</t>
  </si>
  <si>
    <t>X0 (PU)</t>
  </si>
  <si>
    <t>Zo PU</t>
  </si>
  <si>
    <t>ZoAng (deg)</t>
  </si>
  <si>
    <t>Zo Pri(Ohm)</t>
  </si>
  <si>
    <t>Zo Sec(Ohm)</t>
  </si>
  <si>
    <t>Z0MAG</t>
  </si>
  <si>
    <t>Z0ANG</t>
  </si>
  <si>
    <t>Eq 7.6</t>
  </si>
  <si>
    <t>Zero Sequence Compensation Factor</t>
  </si>
  <si>
    <t>Reference SEL 321-1 book page 5-8</t>
  </si>
  <si>
    <t xml:space="preserve">koM1 &lt;koA1 = </t>
  </si>
  <si>
    <t>ZoMAG &lt;ZoANG</t>
  </si>
  <si>
    <t xml:space="preserve">                   =</t>
  </si>
  <si>
    <t>∠</t>
  </si>
  <si>
    <t>Eq 7.7</t>
  </si>
  <si>
    <t>3 * (Z1MAG &lt;Z1ANG)</t>
  </si>
  <si>
    <t>Eq 7.8</t>
  </si>
  <si>
    <t>Re(ko)</t>
  </si>
  <si>
    <t>Im(ko)</t>
  </si>
  <si>
    <t>Therefore:</t>
  </si>
  <si>
    <t>k0M1</t>
  </si>
  <si>
    <t>and</t>
  </si>
  <si>
    <t>k0A1</t>
  </si>
  <si>
    <t>Eq 7.10</t>
  </si>
  <si>
    <t>|ko|</t>
  </si>
  <si>
    <t>Ang(ko)</t>
  </si>
  <si>
    <t>Primary and Ground Loop Impedances:</t>
  </si>
  <si>
    <t>1 + ko</t>
  </si>
  <si>
    <t>Eq 7.11</t>
  </si>
  <si>
    <t>1+Re(ko)</t>
  </si>
  <si>
    <t>|1 + ko|</t>
  </si>
  <si>
    <t>Ang(|ko+1|)</t>
  </si>
  <si>
    <t>All Impedance calculations:</t>
  </si>
  <si>
    <t>S 6.2.3.3</t>
  </si>
  <si>
    <t>CTR/PTR =</t>
  </si>
  <si>
    <t>Z Pri</t>
  </si>
  <si>
    <t>Z Sec</t>
  </si>
  <si>
    <t>(CTR/PTR)</t>
  </si>
  <si>
    <t>ZGL</t>
  </si>
  <si>
    <t>Zpos</t>
  </si>
  <si>
    <t>(1+ko)</t>
  </si>
  <si>
    <t>Zline=</t>
  </si>
  <si>
    <t>Eq 7.12</t>
  </si>
  <si>
    <t>Zpos Relay Settings (from: Zone Dist Imp-Main sheet)</t>
  </si>
  <si>
    <t>ZGLGround Loop Impedances</t>
  </si>
  <si>
    <t>Function</t>
  </si>
  <si>
    <t>SEL</t>
  </si>
  <si>
    <t>from calc</t>
  </si>
  <si>
    <t>if changed</t>
  </si>
  <si>
    <t>Rly setting</t>
  </si>
  <si>
    <t>Zpri</t>
  </si>
  <si>
    <t>Ang(Z)</t>
  </si>
  <si>
    <t>% of line</t>
  </si>
  <si>
    <t>ZGLsec</t>
  </si>
  <si>
    <t>ZGL pri</t>
  </si>
  <si>
    <t>Z1</t>
  </si>
  <si>
    <t>Z1P</t>
  </si>
  <si>
    <t>or</t>
  </si>
  <si>
    <t>Z2</t>
  </si>
  <si>
    <t>Z2P</t>
  </si>
  <si>
    <t>Eq 7.13</t>
  </si>
  <si>
    <t>ZRev</t>
  </si>
  <si>
    <t>Z3P</t>
  </si>
  <si>
    <t>Eq 7.14</t>
  </si>
  <si>
    <t>Z3Fwd</t>
  </si>
  <si>
    <t>Z4P</t>
  </si>
  <si>
    <t>Eq 7.15</t>
  </si>
  <si>
    <r>
      <t>(421/411L)</t>
    </r>
    <r>
      <rPr>
        <sz val="10"/>
        <rFont val="Arial"/>
        <family val="2"/>
      </rPr>
      <t xml:space="preserve"> Ext Pilot</t>
    </r>
  </si>
  <si>
    <t>Z5P</t>
  </si>
  <si>
    <t>Eq 7.16</t>
  </si>
  <si>
    <t>Z1MG</t>
  </si>
  <si>
    <t>Eq 7.17</t>
  </si>
  <si>
    <t>Z2MG</t>
  </si>
  <si>
    <t>Eq 7.18</t>
  </si>
  <si>
    <t>Z3MG</t>
  </si>
  <si>
    <t>Eq 7.19</t>
  </si>
  <si>
    <t>Z4MG</t>
  </si>
  <si>
    <t>Eq 7.20</t>
  </si>
  <si>
    <t>Z5MG</t>
  </si>
  <si>
    <t>Eq 7.21</t>
  </si>
  <si>
    <t>Quadrilateral</t>
  </si>
  <si>
    <t>S 6.1.3</t>
  </si>
  <si>
    <t xml:space="preserve"> "This is only required if zone is smaller than 3 ohm (primary)</t>
  </si>
  <si>
    <t>conditions for QUADZ</t>
  </si>
  <si>
    <t>Z (Sec)</t>
  </si>
  <si>
    <t>Z (Pri) &lt; 3 ohm</t>
  </si>
  <si>
    <t>Z3</t>
  </si>
  <si>
    <t>Z4</t>
  </si>
  <si>
    <t>Note: It is not Generally recommended to use Quadrilateral for  Z4 elements as they might over reach in to other lines.</t>
  </si>
  <si>
    <t>(421 and 411L only) Z5</t>
  </si>
  <si>
    <t>E21XG</t>
  </si>
  <si>
    <t>Eq 7.22</t>
  </si>
  <si>
    <t>Set: X(reactive) reach at calculated Z, and Resistive reach at greater of 5 x Zpri or 3 ohms primary</t>
  </si>
  <si>
    <t>X = Z</t>
  </si>
  <si>
    <t>Rpri=MAX(5*X1,3)</t>
  </si>
  <si>
    <t>Rsec=Rpri/CTRPTR</t>
  </si>
  <si>
    <t>RG1</t>
  </si>
  <si>
    <t>Eq 7.23</t>
  </si>
  <si>
    <t>RG2</t>
  </si>
  <si>
    <t>Eq 7.24</t>
  </si>
  <si>
    <t>X3</t>
  </si>
  <si>
    <t>RG3</t>
  </si>
  <si>
    <t>Eq 7.25</t>
  </si>
  <si>
    <t>X4</t>
  </si>
  <si>
    <t>RG4</t>
  </si>
  <si>
    <t>Eq 7.26</t>
  </si>
  <si>
    <t>(421/411L1 only)</t>
  </si>
  <si>
    <t>X5</t>
  </si>
  <si>
    <r>
      <t>(421/411L only)</t>
    </r>
    <r>
      <rPr>
        <sz val="10"/>
        <rFont val="Arial"/>
        <family val="2"/>
      </rPr>
      <t xml:space="preserve"> </t>
    </r>
    <r>
      <rPr>
        <b/>
        <sz val="10"/>
        <color indexed="12"/>
        <rFont val="Arial"/>
        <family val="2"/>
      </rPr>
      <t>RG5</t>
    </r>
  </si>
  <si>
    <t>Eq 7.27</t>
  </si>
  <si>
    <t>Fault Locator</t>
  </si>
  <si>
    <t>Find the distance in miles (rounded up to the nearest ten) to the first station with infeed as seen by the relay.  Always include the first line, also include the second line if there is only one.</t>
  </si>
  <si>
    <t>First line Mileage:</t>
  </si>
  <si>
    <t>Eq 7.28</t>
  </si>
  <si>
    <t>Second Line Mileage:</t>
  </si>
  <si>
    <t>Eq 7.29</t>
  </si>
  <si>
    <t>Additional Mileage:</t>
  </si>
  <si>
    <t>Eq 7.30</t>
  </si>
  <si>
    <t xml:space="preserve">FLOC Mileage = </t>
  </si>
  <si>
    <t>Eq 7.31</t>
  </si>
  <si>
    <t>for SEL 421 Automation 1, Row 6 ASV041 :=</t>
  </si>
  <si>
    <t>Eq 7.32</t>
  </si>
  <si>
    <t>for SEL 411L Automation 1, Row 6 ASV041 :=</t>
  </si>
  <si>
    <t>LOP and Ground Time Over-Current Calculations for Terminal:</t>
  </si>
  <si>
    <t>Note: These fault currents are extracted fron Fault analysis sheet.</t>
  </si>
  <si>
    <t xml:space="preserve">Note: ASPEN reports 3I0 current on the GUI and I0 current in TTY report.      </t>
  </si>
  <si>
    <t>Minimum Line End fault Current (All Sources In) in primary Amps</t>
  </si>
  <si>
    <t>Minimum Line end fault is used to detect all the faults on the protected line, check 1LG, 3LG,L-L faults because at some buses with a step-up up auto can give more fault current for 1Lg fault compared to a 3LG fault.</t>
  </si>
  <si>
    <t>Minimum Line End 1LG fault Current (All Sources In) in primary Amps</t>
  </si>
  <si>
    <t>Minimum line end 1LG fault Current is used to set time dail setting of ground over current setting</t>
  </si>
  <si>
    <t>Minimum line end LL fault Negative sequence (I2) current in primary Amps</t>
  </si>
  <si>
    <t>Max 3LG fault on tapped (Remote end open), Remote bus, Local Bus XFMR  (All Sources In) in primary Amps</t>
  </si>
  <si>
    <t>It is desirable for the LOP overcurrent to not trip the transmission line for faults on the secondary of a tapped transformer.</t>
  </si>
  <si>
    <t>Max LL fault I2 current on tapped (Remote end open), Remote bus, Local Bus  XFMR  (All Sources In) in primary Amps</t>
  </si>
  <si>
    <t>Minimum Line End fault Current (n-1) in primary Amps</t>
  </si>
  <si>
    <t>Minimum Line end fault is used to detect all the faults on the protected line for n-1 case, check 1LG, 3LG,L-L faults because at some buses with a steup up auto can give more fault current for 1Lg fault compared to a 3LG fault.</t>
  </si>
  <si>
    <t>Minimum LL Line End fault I2 Current (n-1) in primary Amps</t>
  </si>
  <si>
    <t>Line end fault on Longest 2nd Line (Strongest Souce Removed) in primary Amps</t>
  </si>
  <si>
    <t xml:space="preserve">Reverse (Local) Bus 1LG  fault current in primary Amps </t>
  </si>
  <si>
    <t>Reverse bus fault is used to set the time dail of ground Over Time Current Pickup</t>
  </si>
  <si>
    <t>LOP Phase Overcurrent Trip Setting:</t>
  </si>
  <si>
    <t xml:space="preserve">LOP Phase Overcurrent should be set to avoid tripping under load ( Option C is bigger than Option A select Option C), but at the same time relay should detect all in-section faults as much as possible (If Option C is less than Option A, then select it selects the minimum between Option B and Option A).  </t>
  </si>
  <si>
    <t>a)</t>
  </si>
  <si>
    <t>Set to the larger of 150% line rating or 125% of max current for a fault on the secondary of any distribution XFMR tapped on the line, including at remote station.</t>
  </si>
  <si>
    <t>3LG fault on tapped XFMR secondary</t>
  </si>
  <si>
    <t>Eq 8.3</t>
  </si>
  <si>
    <t xml:space="preserve"> =</t>
  </si>
  <si>
    <t>Eq 8.4</t>
  </si>
  <si>
    <t>Max Load</t>
  </si>
  <si>
    <t>Eq 8.5</t>
  </si>
  <si>
    <t xml:space="preserve">Note: Use 125%  only for SEL Relays, for EM Relays 175%. </t>
  </si>
  <si>
    <t>Eq 8.6</t>
  </si>
  <si>
    <t>3LG Fault XFMR Sec</t>
  </si>
  <si>
    <t>b)</t>
  </si>
  <si>
    <t>80% of minimum line end fault current with all sources in</t>
  </si>
  <si>
    <t>Minimum line end fault current</t>
  </si>
  <si>
    <t>(Primary Amps)</t>
  </si>
  <si>
    <t>Eq 8.1</t>
  </si>
  <si>
    <t>A sec.</t>
  </si>
  <si>
    <t>Eq 8.2</t>
  </si>
  <si>
    <t>Minimum Line End Fault</t>
  </si>
  <si>
    <t>80% of Min Line End Fault</t>
  </si>
  <si>
    <t>c)</t>
  </si>
  <si>
    <t>Larger of 115% of line rating or 80% of minimum line fault for n-1 condition</t>
  </si>
  <si>
    <t>Note:  115% only for SEL Relays</t>
  </si>
  <si>
    <t>Eq 8.7</t>
  </si>
  <si>
    <t>115% of Line Limit</t>
  </si>
  <si>
    <t>Minimum line end fault current for n-1 condition</t>
  </si>
  <si>
    <t>Eq 8.8</t>
  </si>
  <si>
    <t>Eq 8.9</t>
  </si>
  <si>
    <t>Minimum Line End Fault (n-1)</t>
  </si>
  <si>
    <t>Eq 8.10</t>
  </si>
  <si>
    <r>
      <rPr>
        <sz val="10"/>
        <rFont val="Arial"/>
        <family val="2"/>
      </rPr>
      <t>For 311,</t>
    </r>
    <r>
      <rPr>
        <b/>
        <sz val="10"/>
        <color indexed="12"/>
        <rFont val="Arial"/>
        <family val="2"/>
      </rPr>
      <t xml:space="preserve"> 50P2P</t>
    </r>
  </si>
  <si>
    <t>Eq 8.11</t>
  </si>
  <si>
    <r>
      <rPr>
        <sz val="10"/>
        <rFont val="Arial"/>
        <family val="2"/>
      </rPr>
      <t>For 421 &amp; 411L,</t>
    </r>
    <r>
      <rPr>
        <b/>
        <sz val="10"/>
        <color indexed="12"/>
        <rFont val="Arial"/>
        <family val="2"/>
      </rPr>
      <t xml:space="preserve"> 50P2P</t>
    </r>
  </si>
  <si>
    <t>Eq 8.12</t>
  </si>
  <si>
    <t>Ground Time-Overcurrent Pickup Settings:</t>
  </si>
  <si>
    <t>Set the ground time OC pickup to the lower of 1 amp secondary or 80% of the minimum 1LG fault on the longest second line, but not lower than either 0.5 amps secondary or 120 amps primary.</t>
  </si>
  <si>
    <t>Eq 8.13</t>
  </si>
  <si>
    <t>2nd Line 1LG (SSR)</t>
  </si>
  <si>
    <t>G Fault sec.</t>
  </si>
  <si>
    <t>51N pickup sec.</t>
  </si>
  <si>
    <t>Eq 8.14</t>
  </si>
  <si>
    <r>
      <t xml:space="preserve"> For 311, </t>
    </r>
    <r>
      <rPr>
        <b/>
        <sz val="10"/>
        <color indexed="12"/>
        <rFont val="Arial"/>
        <family val="2"/>
      </rPr>
      <t xml:space="preserve">51GP </t>
    </r>
  </si>
  <si>
    <t>Eq 8.15</t>
  </si>
  <si>
    <r>
      <t xml:space="preserve">For 421  </t>
    </r>
    <r>
      <rPr>
        <b/>
        <sz val="10"/>
        <color rgb="FF0000FF"/>
        <rFont val="Arial"/>
        <family val="2"/>
      </rPr>
      <t>51S1P</t>
    </r>
    <r>
      <rPr>
        <sz val="10"/>
        <rFont val="Arial"/>
        <family val="2"/>
      </rPr>
      <t xml:space="preserve">; 411L </t>
    </r>
    <r>
      <rPr>
        <b/>
        <sz val="10"/>
        <color rgb="FF0000FF"/>
        <rFont val="Arial"/>
        <family val="2"/>
      </rPr>
      <t>51P01</t>
    </r>
  </si>
  <si>
    <t>Eq 8.16</t>
  </si>
  <si>
    <t xml:space="preserve">1LG Line end fault current in amps </t>
  </si>
  <si>
    <t>Eq 8.17</t>
  </si>
  <si>
    <r>
      <t xml:space="preserve"> For 311, </t>
    </r>
    <r>
      <rPr>
        <b/>
        <sz val="10"/>
        <color indexed="12"/>
        <rFont val="Arial"/>
        <family val="2"/>
      </rPr>
      <t>51GTD</t>
    </r>
  </si>
  <si>
    <t>Eq 8.18</t>
  </si>
  <si>
    <t>Line End Fault</t>
  </si>
  <si>
    <r>
      <t xml:space="preserve">For 421 </t>
    </r>
    <r>
      <rPr>
        <b/>
        <sz val="10"/>
        <color rgb="FF0000FF"/>
        <rFont val="Arial"/>
        <family val="2"/>
      </rPr>
      <t xml:space="preserve">51S1TD; </t>
    </r>
    <r>
      <rPr>
        <sz val="10"/>
        <rFont val="Arial"/>
        <family val="2"/>
      </rPr>
      <t>411L</t>
    </r>
    <r>
      <rPr>
        <b/>
        <sz val="10"/>
        <color rgb="FF0000FF"/>
        <rFont val="Arial"/>
        <family val="2"/>
      </rPr>
      <t xml:space="preserve"> 51TD01</t>
    </r>
  </si>
  <si>
    <t>Eq 8.19</t>
  </si>
  <si>
    <t>Inverse Time over current curve</t>
  </si>
  <si>
    <t>U2</t>
  </si>
  <si>
    <t>Eq 8.20</t>
  </si>
  <si>
    <t>Operating Time for line end fault</t>
  </si>
  <si>
    <t>Cycles</t>
  </si>
  <si>
    <t>Eq 8.21</t>
  </si>
  <si>
    <t>Time Dial Setting for line end fault</t>
  </si>
  <si>
    <t xml:space="preserve">Note: If stepped time delay ground distance elements are included in the line protection package, then a combination of tap and time lever settings that yield an operating time of 60 cycle minimum for line end open faults or If stepped time delay ground distance elements are not included in the line protection package, then a combination of tap and time lever settings that yield an operating time up to 40 cycles for line end open faults </t>
  </si>
  <si>
    <t>Eq 8.22</t>
  </si>
  <si>
    <t xml:space="preserve">Reverse (Local) Bus 1LG  fault current in amps </t>
  </si>
  <si>
    <t>Eq 8.23</t>
  </si>
  <si>
    <t>Eq 8.24</t>
  </si>
  <si>
    <t>Bus Fault</t>
  </si>
  <si>
    <t>Operating Time for Reverse Bus fault</t>
  </si>
  <si>
    <t>If needed increase the time dial setting, to achieve a trip time of at lease 40 cycles (30 Cycles - EHV) for a fault immediately behind the relay</t>
  </si>
  <si>
    <t>Eq 8.25</t>
  </si>
  <si>
    <t>Time Dial Setting for bus fault</t>
  </si>
  <si>
    <t>Eq 8.26</t>
  </si>
  <si>
    <t>Time dial setting</t>
  </si>
  <si>
    <t>Eq 8.27</t>
  </si>
  <si>
    <t>Eq 8.28</t>
  </si>
  <si>
    <t>LOP Negative Sequence Overcurrent Trip Setting:</t>
  </si>
  <si>
    <t>Set to the Negative Sequence current (I2) for a LL fault on the secondary of any distribution XFMR tapped on the line, including at remote station.</t>
  </si>
  <si>
    <t>Max I2 Current for a LL fault on tapped XFMR secondary</t>
  </si>
  <si>
    <t>Eq 8.33</t>
  </si>
  <si>
    <t>Eq 8.36</t>
  </si>
  <si>
    <t>LL Fault XFMR Sec</t>
  </si>
  <si>
    <t>Eq 8.37</t>
  </si>
  <si>
    <t>Larger of 80% of minimum line end Negative sequence (I2) fault current  or 25% of line rating with all sources in for a LL fault</t>
  </si>
  <si>
    <t>Minimum line end fault Negative sequence (I2) current</t>
  </si>
  <si>
    <t>Eq 8.29</t>
  </si>
  <si>
    <t>Eq 8.30</t>
  </si>
  <si>
    <t>Eq 8.31</t>
  </si>
  <si>
    <t>Eq 8.32</t>
  </si>
  <si>
    <t>Larger of 25% of line rating or 80% of minimum line end negative sequence fault current for n-1 condition</t>
  </si>
  <si>
    <t>Eq 8.38</t>
  </si>
  <si>
    <t>100% of Line Limit</t>
  </si>
  <si>
    <t>Min line end negative sequence LL fault current for n-1 condition</t>
  </si>
  <si>
    <t>Eq 8.39</t>
  </si>
  <si>
    <t>Eq 8.40</t>
  </si>
  <si>
    <t>Eq 8.41</t>
  </si>
  <si>
    <t>Eq 8.42</t>
  </si>
  <si>
    <t>Note: Pickup should be three times the min of above calcs, because operating quantity is 3I2</t>
  </si>
  <si>
    <r>
      <rPr>
        <sz val="10"/>
        <rFont val="Arial"/>
        <family val="2"/>
      </rPr>
      <t>For 311,</t>
    </r>
    <r>
      <rPr>
        <b/>
        <sz val="10"/>
        <color indexed="12"/>
        <rFont val="Arial"/>
        <family val="2"/>
      </rPr>
      <t xml:space="preserve"> 51QP</t>
    </r>
  </si>
  <si>
    <t>Eq 8.43</t>
  </si>
  <si>
    <r>
      <rPr>
        <sz val="10"/>
        <rFont val="Arial"/>
        <family val="2"/>
      </rPr>
      <t xml:space="preserve">For 421  </t>
    </r>
    <r>
      <rPr>
        <b/>
        <sz val="10"/>
        <color indexed="12"/>
        <rFont val="Arial"/>
        <family val="2"/>
      </rPr>
      <t>51S2P</t>
    </r>
    <r>
      <rPr>
        <sz val="10"/>
        <color theme="1"/>
        <rFont val="Arial"/>
        <family val="2"/>
      </rPr>
      <t>;</t>
    </r>
    <r>
      <rPr>
        <b/>
        <sz val="10"/>
        <color indexed="12"/>
        <rFont val="Arial"/>
        <family val="2"/>
      </rPr>
      <t xml:space="preserve"> </t>
    </r>
    <r>
      <rPr>
        <sz val="10"/>
        <color theme="1"/>
        <rFont val="Arial"/>
        <family val="2"/>
      </rPr>
      <t>411L</t>
    </r>
    <r>
      <rPr>
        <b/>
        <sz val="10"/>
        <color indexed="12"/>
        <rFont val="Arial"/>
        <family val="2"/>
      </rPr>
      <t xml:space="preserve"> 51P02</t>
    </r>
  </si>
  <si>
    <t>Eq 8.44</t>
  </si>
  <si>
    <t>LOP Trip Time Delay Settings:</t>
  </si>
  <si>
    <t>Eq 8.45</t>
  </si>
  <si>
    <t>LOP trip time delay PCT16PU or SV7PU</t>
  </si>
  <si>
    <r>
      <rPr>
        <sz val="10"/>
        <rFont val="Arial"/>
        <family val="2"/>
      </rPr>
      <t>For 311,</t>
    </r>
    <r>
      <rPr>
        <b/>
        <sz val="10"/>
        <color indexed="12"/>
        <rFont val="Arial"/>
        <family val="2"/>
      </rPr>
      <t xml:space="preserve"> SV7PU</t>
    </r>
  </si>
  <si>
    <t>Eq 8.46</t>
  </si>
  <si>
    <r>
      <rPr>
        <sz val="10"/>
        <rFont val="Arial"/>
        <family val="2"/>
      </rPr>
      <t>For 421 &amp; 411L,</t>
    </r>
    <r>
      <rPr>
        <b/>
        <sz val="10"/>
        <color indexed="12"/>
        <rFont val="Arial"/>
        <family val="2"/>
      </rPr>
      <t>PCT16PU</t>
    </r>
  </si>
  <si>
    <t>Eq 8.47</t>
  </si>
  <si>
    <t>a) LOP trip time delay for typical HV Applications</t>
  </si>
  <si>
    <t xml:space="preserve">    i) The definite time delay for the phase over current and negative sequence over current elements (SEL-421-3 setting PCT16PU, SEL-311 setting SV7PU) should be set to 40 cycles which typically will coordinate with Zone 2 phase and ground distance relays on other transmission lines which may be set to trip in as long as 30 cycles.</t>
  </si>
  <si>
    <t xml:space="preserve">   ii) 2. When line current differential relaying is used, the definite time delay should be set to 60 cycles. Additionally 411L relays are configured to disable LOP when the 87 element is enabled.</t>
  </si>
  <si>
    <t xml:space="preserve">b) LOP trip time delay for EHV or HV critical clearing Time Stations </t>
  </si>
  <si>
    <t xml:space="preserve">   i) The definite time delay (SEL-421-3/5 setting PCT16PU, SEL-311L/C setting SV7PU) should be set to 10 cycles which typically will coordinate with adjacent and remote transmission lines with that are required to include dual pilot protection.</t>
  </si>
  <si>
    <t>LOP Trip Delay for SEL Mirror Bit Options (Fast LOP) for SEL-421 Relay (No taps on the line)</t>
  </si>
  <si>
    <t>Eq 8.48</t>
  </si>
  <si>
    <t>LOP trip time delay PCT14PU</t>
  </si>
  <si>
    <r>
      <rPr>
        <sz val="10"/>
        <rFont val="Arial"/>
        <family val="2"/>
      </rPr>
      <t xml:space="preserve">For 421 &amp; 411L </t>
    </r>
    <r>
      <rPr>
        <b/>
        <sz val="10"/>
        <color indexed="12"/>
        <rFont val="Arial"/>
        <family val="2"/>
      </rPr>
      <t>PCT14PU</t>
    </r>
  </si>
  <si>
    <t>Eq 8.49</t>
  </si>
  <si>
    <t>** Disable the Fast LOP by setting PCT14PU to 40 Cycles for the Tapped transmission Lines on the Fiber communication Options **</t>
  </si>
  <si>
    <t xml:space="preserve">i)  If the local fault detector is asserted and the remote relay detects a Zone 1 fault or the remote breaker is open, indicating that the remote terminal is either open or about to open, then the LOP trip time delay may be set much faster, because there is a fault on the protected transmission line.  </t>
  </si>
  <si>
    <t>ii) If RMB1A (or RMB1B in dual fiber options) is asserted, then the remote breaker is open.  If RMB2A (or RMB2B in dual fiber options) is asserted, then the remote relay is detecting a Zone 1 fault. The relay should be set to trip if either of these conditions is detected and the ILOP AND (50P2 OR 50Q2) gate is asserted for at least 3 cycles.</t>
  </si>
  <si>
    <t>Inverse time over current curves</t>
  </si>
  <si>
    <t>Curve type</t>
  </si>
  <si>
    <t>a</t>
  </si>
  <si>
    <t>b</t>
  </si>
  <si>
    <t>c</t>
  </si>
  <si>
    <t>U1</t>
  </si>
  <si>
    <t>U3</t>
  </si>
  <si>
    <t>U4</t>
  </si>
  <si>
    <t>U5</t>
  </si>
  <si>
    <t>Transfer Trip Supervision Calculations for Terminal</t>
  </si>
  <si>
    <t xml:space="preserve">A Transfer Trip Receive signal is desingned  to trip the local line terminal for a breaker fail condition at the remote end. Fault detector logic at the local terminal may be implemented in some locations to supervise the transfer trip receive. </t>
  </si>
  <si>
    <t>Lowest Remote BKR Fail PHASE pickup (Sec. Amps)</t>
  </si>
  <si>
    <t>Eq 9.1</t>
  </si>
  <si>
    <t>Eq 9.2</t>
  </si>
  <si>
    <t>Transfer Trip Receive Supervision Settings:</t>
  </si>
  <si>
    <t>Enable the transfer trip fault detector for the locations where the transfer trip receive relay can detect faults that the remote breaker may be called on to trip by setting PSV10 (SEL-421 and SEL-411L), SET16 (SEL-311C and SEL-311L) to Zero.</t>
  </si>
  <si>
    <t>Eq 9.3</t>
  </si>
  <si>
    <t>Transfer Trip Supervision Enable/Disable</t>
  </si>
  <si>
    <r>
      <rPr>
        <sz val="10"/>
        <rFont val="Arial"/>
        <family val="2"/>
      </rPr>
      <t>SEL-421 and SEL- 411L,</t>
    </r>
    <r>
      <rPr>
        <b/>
        <sz val="10"/>
        <color indexed="12"/>
        <rFont val="Arial"/>
        <family val="2"/>
      </rPr>
      <t>PSV10</t>
    </r>
  </si>
  <si>
    <t>Eq 9.4</t>
  </si>
  <si>
    <t>Note: Enable=0, Disable=1</t>
  </si>
  <si>
    <r>
      <rPr>
        <sz val="10"/>
        <rFont val="Arial"/>
        <family val="2"/>
      </rPr>
      <t>SEL-311C and SEL- 311L,</t>
    </r>
    <r>
      <rPr>
        <b/>
        <sz val="10"/>
        <color indexed="12"/>
        <rFont val="Arial"/>
        <family val="2"/>
      </rPr>
      <t>SET16</t>
    </r>
  </si>
  <si>
    <t>Eq 9.5</t>
  </si>
  <si>
    <t>Note: Disable the Transfer Trip Supervision for the cases where remote breaker is required to trip for a power transformer, a power plant step up transformer, an autotransformer, and a capacitor bank.</t>
  </si>
  <si>
    <t>The fault detector typically includes the following elements: Any phase to phase voltage is below 90% nominal, zero sequence voltage 3V0 exceeds 5% nominal, and current fault detectors as described below for phase, ground, and negative sequence.</t>
  </si>
  <si>
    <t>Eq 9.6</t>
  </si>
  <si>
    <t>90% Base kV(PP)</t>
  </si>
  <si>
    <t>Eq 9.7</t>
  </si>
  <si>
    <t>kV Pri.</t>
  </si>
  <si>
    <t>PMV06</t>
  </si>
  <si>
    <t>Eq 9.8</t>
  </si>
  <si>
    <t>(421  &amp; 411L Setting in kV Primary)</t>
  </si>
  <si>
    <t>Eq 9.9</t>
  </si>
  <si>
    <t>Eq 9.10</t>
  </si>
  <si>
    <t xml:space="preserve"> PTR</t>
  </si>
  <si>
    <t>27PP</t>
  </si>
  <si>
    <t>Eq 9.11</t>
  </si>
  <si>
    <t>Eq 9.12</t>
  </si>
  <si>
    <t>5% Sec 3V0</t>
  </si>
  <si>
    <t>Eq 9.13</t>
  </si>
  <si>
    <t>59N1P</t>
  </si>
  <si>
    <t>Eq 9.14</t>
  </si>
  <si>
    <t>PMV05</t>
  </si>
  <si>
    <t>Eq 9.15</t>
  </si>
  <si>
    <r>
      <rPr>
        <b/>
        <sz val="10"/>
        <color indexed="12"/>
        <rFont val="Arial"/>
        <family val="2"/>
      </rPr>
      <t>(421 &amp; 411L) PSV02</t>
    </r>
    <r>
      <rPr>
        <sz val="10"/>
        <rFont val="Arial"/>
        <family val="2"/>
      </rPr>
      <t xml:space="preserve"> =</t>
    </r>
  </si>
  <si>
    <t>Eq 9.16</t>
  </si>
  <si>
    <t>51PP (311) and 50P4 (421) set to the lesser of remote breaker fail and 100% line limit, but no lower than .25 amps.</t>
  </si>
  <si>
    <t>Note that the voltage and negative sequence currents calculated here are meant to be an extra sensitive starting point. An alarm and a display point will be programmed to assert if these fault detectors are picked for load unbalance and when that occurs, these levels should be increased for that terminal.</t>
  </si>
  <si>
    <t>100% Max Load</t>
  </si>
  <si>
    <t>Eq 9.17</t>
  </si>
  <si>
    <t>Local CTR to1</t>
  </si>
  <si>
    <t>Eq 9.18</t>
  </si>
  <si>
    <t xml:space="preserve">Note: if the fault it is less than Max load, then an 80% margin will apply to the pickup selection. </t>
  </si>
  <si>
    <t>Lowest Remote BKR Fail PHASE pickup (Sec. Amps with respect the locat CTR)</t>
  </si>
  <si>
    <t>Remote BF CTR to 1</t>
  </si>
  <si>
    <t>Local CTR to 1</t>
  </si>
  <si>
    <t>Eq 9.19</t>
  </si>
  <si>
    <t>51PP</t>
  </si>
  <si>
    <t>Eq 9.20</t>
  </si>
  <si>
    <t>50P4P</t>
  </si>
  <si>
    <t>Eq 9.21</t>
  </si>
  <si>
    <t>(421 &amp; 411L)</t>
  </si>
  <si>
    <t>50G4P set to the lesser of remote breaker fail and .5 amps.</t>
  </si>
  <si>
    <t>Eq 9.22</t>
  </si>
  <si>
    <t>Eq 9.23</t>
  </si>
  <si>
    <t xml:space="preserve">NOTE: 50G4 used for both TT Rec and BKR fail fault detector in the 311C/311L. Set 50G4P to the lesser of the local breaker fail calculation and the TT Rec. calculation. Make sure that if the setting used for breaker failure on the SEL-311C/311L should match the settings of the SEL-421/SEL-411L. </t>
  </si>
  <si>
    <t>50G4P</t>
  </si>
  <si>
    <t>Eq 9.24</t>
  </si>
  <si>
    <t>(311, 421 &amp; 411L)</t>
  </si>
  <si>
    <t>50Q (negative sequence) pickup is typically set to 20% of line rating.</t>
  </si>
  <si>
    <t>20% Max Load</t>
  </si>
  <si>
    <r>
      <t xml:space="preserve"> </t>
    </r>
    <r>
      <rPr>
        <b/>
        <sz val="10"/>
        <color indexed="12"/>
        <rFont val="Arial"/>
        <family val="2"/>
      </rPr>
      <t xml:space="preserve">50Q4P OR 50Q1P </t>
    </r>
  </si>
  <si>
    <t>Eq 9.25</t>
  </si>
  <si>
    <t xml:space="preserve"> Local CTR to 1</t>
  </si>
  <si>
    <t>(311 only)**</t>
  </si>
  <si>
    <t>Eq 9.26</t>
  </si>
  <si>
    <t>50Q4P</t>
  </si>
  <si>
    <t>Eq 9.27</t>
  </si>
  <si>
    <t>** Old 311 templates use 50Q1 for transfer trip and New 311 Templates use 50Q4 for the transfer trip supervision. Please check SV13 variable to see which element is used in the logic</t>
  </si>
  <si>
    <t>TT ENABLE/DIABLE</t>
  </si>
  <si>
    <t>Switch onto Fault Calculations for Terminal:</t>
  </si>
  <si>
    <t>Switch onto fault (SOTF) relay logic allows for tripping a line protective relay during a window of time after the circuit breaker closes. The SOTF logic may trip quickly when a terminal is closed onto a fault without regard to time coordination with downstream devices. It also allows for instantaneous tripping following reclosing into a permanent fault.</t>
  </si>
  <si>
    <t>Note: These fault currents are extracted from Fault analysis sheet.</t>
  </si>
  <si>
    <t>Close In End Open (All Sources In = maximum Fault available)</t>
  </si>
  <si>
    <t>Primary Amps</t>
  </si>
  <si>
    <t>Eq 10.1</t>
  </si>
  <si>
    <t xml:space="preserve">SOTF Setting: </t>
  </si>
  <si>
    <t>Low set  voltage supervised over current element is normally set to lower of  151% of line limit and 50% of maximum close in fault current.</t>
  </si>
  <si>
    <t>Low set over current switch-onto-fault element:</t>
  </si>
  <si>
    <t>Eq 10.2</t>
  </si>
  <si>
    <t>Eq 10.3</t>
  </si>
  <si>
    <t>Max Close in fault</t>
  </si>
  <si>
    <t>Eq 10.4</t>
  </si>
  <si>
    <t>50P1P</t>
  </si>
  <si>
    <t>Eq 10.5</t>
  </si>
  <si>
    <t>(421,411L,311C,311L)</t>
  </si>
  <si>
    <t>Voltage supervision of 65% nominal phase to ground secondary voltage</t>
  </si>
  <si>
    <t>L-G Sec Voltage.</t>
  </si>
  <si>
    <t>L-G Voltage</t>
  </si>
  <si>
    <t>PMV13</t>
  </si>
  <si>
    <t>Eq 10.6</t>
  </si>
  <si>
    <t>27P</t>
  </si>
  <si>
    <t>Eq 10.7</t>
  </si>
  <si>
    <t>(311C &amp; 311L)</t>
  </si>
  <si>
    <r>
      <t xml:space="preserve">(421, 411L) 67P1TC </t>
    </r>
    <r>
      <rPr>
        <b/>
        <sz val="10"/>
        <rFont val="Arial"/>
        <family val="2"/>
      </rPr>
      <t>=</t>
    </r>
  </si>
  <si>
    <t>Eq 10.8</t>
  </si>
  <si>
    <r>
      <t xml:space="preserve">67P1TC  </t>
    </r>
    <r>
      <rPr>
        <sz val="10"/>
        <rFont val="Arial"/>
        <family val="2"/>
      </rPr>
      <t>=</t>
    </r>
  </si>
  <si>
    <t>(27A+27B+27C)*SOTFE</t>
  </si>
  <si>
    <t>Eq 10.9</t>
  </si>
  <si>
    <t xml:space="preserve">Note: A 2 cycle time delay should applied on SEL relays for the low set overcurrent relay to allow sufficient time for voltage elements to assert and restrain the relay where </t>
  </si>
  <si>
    <r>
      <t xml:space="preserve">67P1D </t>
    </r>
    <r>
      <rPr>
        <sz val="10"/>
        <rFont val="Arial"/>
        <family val="2"/>
      </rPr>
      <t>=</t>
    </r>
  </si>
  <si>
    <t>Eq 10.10</t>
  </si>
  <si>
    <t>the overcurrent elements may assert for load pickup</t>
  </si>
  <si>
    <t>A high set overcurrent element is set to 250% of the highest seasonal facility rating of the transmission line.</t>
  </si>
  <si>
    <t>Note: The 250% level is applied to ensure that this overcurrent element does not assert for load pickup, transformer inrush, or high levels of current due to closing a loop on the transmission system. If needed increase the Highset percentage pickup</t>
  </si>
  <si>
    <t>At some locations, fault current may not be sufficient for the high set overcurrent to ever pick up. This is acceptable as it is only intended to provide for faster tripping where high levels of fault current are expected.</t>
  </si>
  <si>
    <t>High set switch-onto-fault overcurrent:</t>
  </si>
  <si>
    <t>Eq 10.11</t>
  </si>
  <si>
    <t>Eq 10.12</t>
  </si>
  <si>
    <t>50P3P</t>
  </si>
  <si>
    <t>Eq 10.13</t>
  </si>
  <si>
    <t>(421,411L)</t>
  </si>
  <si>
    <t>CALCULATION SHEET</t>
  </si>
  <si>
    <t>Breaker</t>
  </si>
  <si>
    <t>Breaker Failure Fault Detectors:</t>
  </si>
  <si>
    <t>* NOTE:  User Input "overrides" can be entered in yellow cells</t>
  </si>
  <si>
    <t xml:space="preserve">* NOTE:  This calculation are only for SEL-421, SEL-41LL, SEL-311C, and SEL-311L. </t>
  </si>
  <si>
    <t>Phase fault detector should be set to the lower of 80% of minimum fault with worst case N-1 contingency or 125% of line limit.  Ground fault detector should be set to the lower of 1 amp or 80% of minimum fault, but not less than 0.5 A.  Breaker failure trip time should be 8 cycles for 230kV and above, and 10 cycles for any voltage lower than 230kV.</t>
  </si>
  <si>
    <t>For explanation of minimum fault conditions, see the corresponding bus arrangement in notes below</t>
  </si>
  <si>
    <t>Voltage:</t>
  </si>
  <si>
    <t>CTR:</t>
  </si>
  <si>
    <t>Load Limit:</t>
  </si>
  <si>
    <t>A Pri.</t>
  </si>
  <si>
    <t>FAULT DET</t>
  </si>
  <si>
    <r>
      <t xml:space="preserve">CASE 1 </t>
    </r>
    <r>
      <rPr>
        <b/>
        <sz val="8"/>
        <color rgb="FFFF0000"/>
        <rFont val="Arial"/>
        <family val="2"/>
      </rPr>
      <t>(Test Case 13 SDA)</t>
    </r>
  </si>
  <si>
    <r>
      <t xml:space="preserve">CASE 2/2a </t>
    </r>
    <r>
      <rPr>
        <b/>
        <sz val="8"/>
        <color rgb="FFFF0000"/>
        <rFont val="Arial"/>
        <family val="2"/>
      </rPr>
      <t>(Test Case 14 SDA)</t>
    </r>
  </si>
  <si>
    <t>CASE 2/2b</t>
  </si>
  <si>
    <t>Minimum Phase Fault:</t>
  </si>
  <si>
    <t>3-Ph</t>
  </si>
  <si>
    <t>Minimum Ground Fault:</t>
  </si>
  <si>
    <t>Ph-Ph</t>
  </si>
  <si>
    <t>Ph-G</t>
  </si>
  <si>
    <t>Phase Fault Detector:</t>
  </si>
  <si>
    <t>Min phase fault</t>
  </si>
  <si>
    <t>BREAKER FAILURE BUS ARRANGEMENT</t>
  </si>
  <si>
    <t>Eq 11.1</t>
  </si>
  <si>
    <t>Single Breaker Scheme</t>
  </si>
  <si>
    <t>Line Limit:</t>
  </si>
  <si>
    <t>Eq 11.2</t>
  </si>
  <si>
    <r>
      <t xml:space="preserve">For 421 and 411L, </t>
    </r>
    <r>
      <rPr>
        <b/>
        <sz val="10"/>
        <color indexed="12"/>
        <rFont val="Arial"/>
        <family val="2"/>
      </rPr>
      <t>50FP1;</t>
    </r>
    <r>
      <rPr>
        <sz val="10"/>
        <rFont val="Arial"/>
        <family val="2"/>
      </rPr>
      <t xml:space="preserve"> for 311, </t>
    </r>
    <r>
      <rPr>
        <b/>
        <sz val="10"/>
        <color indexed="12"/>
        <rFont val="Arial"/>
        <family val="2"/>
      </rPr>
      <t>50P3P</t>
    </r>
  </si>
  <si>
    <t>Eq 11.3</t>
  </si>
  <si>
    <t>Ground Fault Detector:</t>
  </si>
  <si>
    <t>Eq 11.4</t>
  </si>
  <si>
    <t>S 11.3</t>
  </si>
  <si>
    <t>Min ground fault</t>
  </si>
  <si>
    <r>
      <t xml:space="preserve">For 421 and 411L, </t>
    </r>
    <r>
      <rPr>
        <b/>
        <sz val="10"/>
        <color indexed="12"/>
        <rFont val="Arial"/>
        <family val="2"/>
      </rPr>
      <t>50RP1;</t>
    </r>
    <r>
      <rPr>
        <sz val="10"/>
        <rFont val="Arial"/>
        <family val="2"/>
      </rPr>
      <t xml:space="preserve"> for 311, </t>
    </r>
    <r>
      <rPr>
        <b/>
        <sz val="10"/>
        <color indexed="12"/>
        <rFont val="Arial"/>
        <family val="2"/>
      </rPr>
      <t>50G4P</t>
    </r>
  </si>
  <si>
    <t>Eq 11.5</t>
  </si>
  <si>
    <t>NOTE: 50G4 used for both TT Rec and BKR fail fault detector in the 311C/311L. Set 50G4P to the lesser of the local breaker fail calculation and the TT Rec. calculation.</t>
  </si>
  <si>
    <r>
      <t xml:space="preserve">For 421 and 411L, </t>
    </r>
    <r>
      <rPr>
        <b/>
        <sz val="10"/>
        <color indexed="12"/>
        <rFont val="Arial"/>
        <family val="2"/>
      </rPr>
      <t>BFPU1 and NPU1;</t>
    </r>
    <r>
      <rPr>
        <sz val="10"/>
        <rFont val="Arial"/>
        <family val="2"/>
      </rPr>
      <t xml:space="preserve"> for 311, </t>
    </r>
    <r>
      <rPr>
        <b/>
        <sz val="10"/>
        <color indexed="12"/>
        <rFont val="Arial"/>
        <family val="2"/>
      </rPr>
      <t>SV4PU</t>
    </r>
  </si>
  <si>
    <t>Eq 11.6</t>
  </si>
  <si>
    <t>Phase Fault Location:</t>
  </si>
  <si>
    <t>LL line end fault on Sub10 - Sub20</t>
  </si>
  <si>
    <t>Ground Fault Location:</t>
  </si>
  <si>
    <t>LG line end fault on Sub10 - Sub20</t>
  </si>
  <si>
    <t>Single Contingency:</t>
  </si>
  <si>
    <t>Explanation of Minimum Fault Conditions with Contingencies:</t>
  </si>
  <si>
    <t>NOTE:  Strongest source infers removal of a single source that produces the minimum current through the relay location.</t>
  </si>
  <si>
    <t>A. Single Breaker (Minimum fault conditions for Breaker A failure):</t>
  </si>
  <si>
    <t>B</t>
  </si>
  <si>
    <t>Line 2 (Strongest Source)</t>
  </si>
  <si>
    <t>C</t>
  </si>
  <si>
    <t>Case 1:</t>
  </si>
  <si>
    <t>A line end fault on Line 1 with the strongest source, Line 2, removed.</t>
  </si>
  <si>
    <t>D</t>
  </si>
  <si>
    <t>E</t>
  </si>
  <si>
    <t>Line 4</t>
  </si>
  <si>
    <t>F</t>
  </si>
  <si>
    <t>Line 5 (Strongest Source)</t>
  </si>
  <si>
    <t>G</t>
  </si>
  <si>
    <t>Line 6</t>
  </si>
  <si>
    <t>Case 2:</t>
  </si>
  <si>
    <t>A bus fault with all other sources on this bus, Line 2 and Line 3, out of service after a bus differential operation.  This causes Line 1 to be the only source to the bus fault.  Also, remove the strongest source from the other end of the line, Line 5, as the single contingency.</t>
  </si>
  <si>
    <t>B. Double Breaker (Minimum fault conditions for Breaker A failure):</t>
  </si>
  <si>
    <t>A bus fault with all other breakers on this bus, Breaker C and E, opened due to a bus differential operation.  Breaker B is already out of service as the single contingency.  This causes Line 1 to be the only source to the bus fault.  Since ASPEN Oneliner does not show breaker configurations, the proper way to simulate this fault is to split the bus with only Line 1 on one bus and all other sources on another bus.  (An alternate manual simulation method is to perform a line end open fault from the remote relay group on Line 1.)</t>
  </si>
  <si>
    <t>C.  Ring Bus / Lines - Autotransformers (Minimum fault conditions for Breaker A failure):</t>
  </si>
  <si>
    <t>A fault at the end of Line 2 will cause Breaker B to trip.  Breaker D is out of service as the single contingency.  This causes Line 1 to be the only source to the fault.  Since ASPEN Oneliner does not show breaker configurations, the proper way to simulate this fault is to split the bus with only Line 1 and Line 2 on one bus and all other sources on another bus.</t>
  </si>
  <si>
    <t xml:space="preserve">A fault at the end of Line 1 will cause Breaker D to trip.  Breaker B is out of service as the single contingency.  This causes Line 2 to be the only source to the fault.  Since ASPEN Oneliner does not show breaker configurations, the proper way to simulate this fault is to split the bus with only Line 1 and Line 2 on one bus and all other sources on another bus.
</t>
  </si>
  <si>
    <t>D.  Ring Bus / Isolated Power Transformer (Minimum fault conditions for Breaker A failure):</t>
  </si>
  <si>
    <t>1 LG Fault</t>
  </si>
  <si>
    <t>Phase Current</t>
  </si>
  <si>
    <t>Case 1 (for phase fault detector only):</t>
  </si>
  <si>
    <t>If Breaker A must open to clear a fault on the low side of a delta-wye distribution transformer, record a single-line-to-ground fault on the low side of the transformer.  Breaker B opens in response to the transformer fault.  Record the mininum measureable phase fault current at the relay location.  Breaker D is already opened as a single contingency.  Since ASPEN Oneliner does not show breaker configurations, the proper way to simulate this fault is to split the bus with only Line 1 and the power transformer on one bus and all other sources on another bus.</t>
  </si>
  <si>
    <t>No Source</t>
  </si>
  <si>
    <t>`</t>
  </si>
  <si>
    <t>Minimum Current</t>
  </si>
  <si>
    <t>OR</t>
  </si>
  <si>
    <t>Strongest Source
(Case 2a)</t>
  </si>
  <si>
    <t>Strongest Source
(Case 2b)</t>
  </si>
  <si>
    <t>A fault at the end of Line 1 will cause Breaker D to trip.  However, since the power transformer is not a source, Breaker B is not the single contingency outage. Instead, either Line 2 (Case 2a) or Breaker C (Case 2b) will be the strongest source, which will depend on the corresponding ASPEN fault simulation.  
To test Case 2a whereby Line 2 is assumed to be the strongest source, simply take Line 2 out of service and retain all other lines.  Line 2 must be the most immediate source terminal on the other side of the isolated power transformer relative to the terminal for Line 1.  To test Case 2b, the bus must be split such that Line 1, the isolated power transformer, and Line 2 are on the same bus, and all other lines are connected to the other bus.</t>
  </si>
  <si>
    <t>E.  Ring Bus / Adjacent Power Transformers (Minimum fault conditions for Breaker A failure):</t>
  </si>
  <si>
    <t>1LG Fault</t>
  </si>
  <si>
    <t>No source</t>
  </si>
  <si>
    <t xml:space="preserve">Breaker B opens to clear fault on lowside of Transformer 1.  Breaker A fails to open to clear a fault on the low side of a delta-wye distribution Transformer 1, so record a single-line-to-ground fault on the low side of the Transformer 1.  Record the phase fault current at the relay location.  Breaker F is already opened as a single contingency.
</t>
  </si>
  <si>
    <t>StrongestSource
(Case 2a)</t>
  </si>
  <si>
    <t>Strongest
Source
(Case 2b)</t>
  </si>
  <si>
    <t>A fault at the end of Line 1 will cause Breaker F to trip.  However, since the power transformers are not a sources, Breaker B or C is not the single contingency outage. Instead, either Line 2 (Case 2a) or Breaker D (Case 2b) will be the strongest source, which will depend on the corresponding ASPEN fault simulation.
To test Case 2a whereby Line 2 is assumed to be the strongest source, simply take Line 2 out of service and retain all other lines.  Line 2 must be the most immediate source terminal on the other side of the adjacent power transformers relative to the terminal for Line 1.  To test Case 2b, the bus must be split such that Line 1, the adjacent power transformers, and Line 2 are on the same bus, and all other lines are connected to the other bus</t>
  </si>
  <si>
    <t>F. Breaker and a Half - Bus Side Breaker (Minimum fault conditions for Breaker A failure):</t>
  </si>
  <si>
    <t>H</t>
  </si>
  <si>
    <t>Line 5</t>
  </si>
  <si>
    <t>Terminal 6</t>
  </si>
  <si>
    <t>strongest source</t>
  </si>
  <si>
    <t>A line end fault on Line 1 with the strongest source, Terminal 6 (which may either be a line, autotransformer, or generator step up transformer), removed.</t>
  </si>
  <si>
    <t>Line 2 or Transformer</t>
  </si>
  <si>
    <t>A bus fault with all other breakers on this bus, Breakers D and G, open due to a bus differential operation.  Although Breaker B would normally open once failure of Breaker A is detected, assume that Breaker B is already out of service as the single contingency.  This causes Line 1 to be the only source to the bus fault.  Since ASPEN Oneliner does not show breaker configurations, the proper way to simulate this fault is to split the bus with only Line 1 on one bus and all other sources on another bus.  (An alternate manual simulation method is the perform a line end open fault from the remote relay group on Line 1.)</t>
  </si>
  <si>
    <t>G. Breaker and a Half - Middle Breaker (Minimum fault conditions for Breaker B failure):</t>
  </si>
  <si>
    <t xml:space="preserve">Line 2 </t>
  </si>
  <si>
    <t>A fault at the end of Line 2 will cause Breaker C to trip.  Although Breaker A would normally open once failure of Breaker B is detected, assume that Breaker A is already out of service as the single contingency.  This causes Line 1 to be the only source to the fault.  Since ASPEN Oneliner does not show breaker configurations, the proper way to simulate this fault is to split the bus with only Line 1 and Line 2 on one bus and all other sources on another bus.</t>
  </si>
  <si>
    <t>A fault at the end of Line 1 will cause Breaker A to trip.  Although Breaker C would normally open once failure of Breaker B is detected, assume that Breaker C is already out of service as the single contingency.  This causes Line 2 to be the only source to the fault.  Since ASPEN Oneliner does not show breaker configurations, the proper way to simulate this fault is to split the bus with only Line 1 and Line 2 on one bus and all other sources on another bus.</t>
  </si>
  <si>
    <t>Double Breaker Scheme</t>
  </si>
  <si>
    <t>Breaker and Half Scheme</t>
  </si>
  <si>
    <t>Ring Bus Scheme</t>
  </si>
  <si>
    <t>CASE 1</t>
  </si>
  <si>
    <t>CASE 2/2a</t>
  </si>
  <si>
    <t>Voltage Calculations, Dead Line, Dead Bus &amp; Synch relay elements</t>
  </si>
  <si>
    <t>SEL 421 relay</t>
  </si>
  <si>
    <t>Nominal System Voltage</t>
  </si>
  <si>
    <t>VY PT Ratio</t>
  </si>
  <si>
    <t>Dead Bus:</t>
  </si>
  <si>
    <t>Dead Line:</t>
  </si>
  <si>
    <t>Sync Reference PT Ratio</t>
  </si>
  <si>
    <t>Healthy Sync Volt Min:</t>
  </si>
  <si>
    <t>Healthy Sync Volt Max:</t>
  </si>
  <si>
    <t>Sync Source #1 PT Ratio</t>
  </si>
  <si>
    <t>Sync Source #2 PT Ratio</t>
  </si>
  <si>
    <t>VZ PT Ratio</t>
  </si>
  <si>
    <t>/(SQRT 3 x</t>
  </si>
  <si>
    <t>V, sec l-g</t>
  </si>
  <si>
    <t>VNOMY =</t>
  </si>
  <si>
    <t>V, sec l-l</t>
  </si>
  <si>
    <t>Eq 12.1</t>
  </si>
  <si>
    <t>VNOMZ =</t>
  </si>
  <si>
    <t>Eq 12.2</t>
  </si>
  <si>
    <t>Sync Check Settings (421 Only)</t>
  </si>
  <si>
    <t>Sync Source 1 Ratio Factor =</t>
  </si>
  <si>
    <r>
      <t>KS1M</t>
    </r>
    <r>
      <rPr>
        <sz val="10"/>
        <color indexed="12"/>
        <rFont val="Arial"/>
        <family val="2"/>
      </rPr>
      <t xml:space="preserve"> </t>
    </r>
    <r>
      <rPr>
        <sz val="10"/>
        <rFont val="Arial"/>
        <family val="2"/>
      </rPr>
      <t>=</t>
    </r>
  </si>
  <si>
    <t>Eq 12.3</t>
  </si>
  <si>
    <t>Sync Source 2 Ratio Factor =</t>
  </si>
  <si>
    <r>
      <t>KS2M</t>
    </r>
    <r>
      <rPr>
        <sz val="10"/>
        <color indexed="12"/>
        <rFont val="Arial"/>
        <family val="2"/>
      </rPr>
      <t xml:space="preserve"> </t>
    </r>
    <r>
      <rPr>
        <sz val="10"/>
        <rFont val="Arial"/>
        <family val="2"/>
      </rPr>
      <t>=</t>
    </r>
  </si>
  <si>
    <r>
      <t>KS1A</t>
    </r>
    <r>
      <rPr>
        <sz val="10"/>
        <color indexed="12"/>
        <rFont val="Arial"/>
        <family val="2"/>
      </rPr>
      <t xml:space="preserve"> </t>
    </r>
    <r>
      <rPr>
        <sz val="10"/>
        <rFont val="Arial"/>
        <family val="2"/>
      </rPr>
      <t>=</t>
    </r>
  </si>
  <si>
    <t>Deg</t>
  </si>
  <si>
    <t xml:space="preserve">Note: If selected phases are A and A is 0, if A and B is 240, and A and C is 120. </t>
  </si>
  <si>
    <t xml:space="preserve">Max Sync Volts = </t>
  </si>
  <si>
    <r>
      <t>25VH</t>
    </r>
    <r>
      <rPr>
        <sz val="10"/>
        <rFont val="Arial"/>
        <family val="2"/>
      </rPr>
      <t xml:space="preserve">  =</t>
    </r>
  </si>
  <si>
    <t>V, sec</t>
  </si>
  <si>
    <t>Eq 12.4</t>
  </si>
  <si>
    <t xml:space="preserve">Min Sync Volts = </t>
  </si>
  <si>
    <r>
      <t>25VL</t>
    </r>
    <r>
      <rPr>
        <sz val="10"/>
        <rFont val="Arial"/>
        <family val="2"/>
      </rPr>
      <t xml:space="preserve">  =</t>
    </r>
  </si>
  <si>
    <t>Eq 12.5</t>
  </si>
  <si>
    <r>
      <t>SYNCP</t>
    </r>
    <r>
      <rPr>
        <sz val="10"/>
        <rFont val="Arial"/>
        <family val="2"/>
      </rPr>
      <t xml:space="preserve"> = </t>
    </r>
  </si>
  <si>
    <t>Eq 12.6</t>
  </si>
  <si>
    <r>
      <t xml:space="preserve">SYNCS1 </t>
    </r>
    <r>
      <rPr>
        <sz val="10"/>
        <rFont val="Arial"/>
        <family val="2"/>
      </rPr>
      <t>=</t>
    </r>
  </si>
  <si>
    <r>
      <t xml:space="preserve">SYNCS2 </t>
    </r>
    <r>
      <rPr>
        <sz val="10"/>
        <rFont val="Arial"/>
        <family val="2"/>
      </rPr>
      <t>=</t>
    </r>
  </si>
  <si>
    <t xml:space="preserve">Dead Line = </t>
  </si>
  <si>
    <r>
      <t>(421) 27LP</t>
    </r>
    <r>
      <rPr>
        <sz val="10"/>
        <rFont val="Arial"/>
        <family val="2"/>
      </rPr>
      <t xml:space="preserve"> =</t>
    </r>
  </si>
  <si>
    <t>Eq 12.7</t>
  </si>
  <si>
    <t xml:space="preserve">Healthy Line = </t>
  </si>
  <si>
    <r>
      <t>59LP</t>
    </r>
    <r>
      <rPr>
        <sz val="10"/>
        <rFont val="Arial"/>
        <family val="2"/>
      </rPr>
      <t xml:space="preserve"> =</t>
    </r>
  </si>
  <si>
    <t>Eq 12.8</t>
  </si>
  <si>
    <t xml:space="preserve">Dead Bus 1 = </t>
  </si>
  <si>
    <r>
      <t>27BK1P</t>
    </r>
    <r>
      <rPr>
        <sz val="10"/>
        <rFont val="Arial"/>
        <family val="2"/>
      </rPr>
      <t xml:space="preserve"> =</t>
    </r>
  </si>
  <si>
    <t>Eq 12.9</t>
  </si>
  <si>
    <t xml:space="preserve">Healthy Bus 1 = </t>
  </si>
  <si>
    <r>
      <t>59BK1P</t>
    </r>
    <r>
      <rPr>
        <sz val="10"/>
        <rFont val="Arial"/>
        <family val="2"/>
      </rPr>
      <t xml:space="preserve"> =</t>
    </r>
  </si>
  <si>
    <t>Eq 12.10</t>
  </si>
  <si>
    <t xml:space="preserve">Dead Bus 2 = </t>
  </si>
  <si>
    <r>
      <t>27BK2P</t>
    </r>
    <r>
      <rPr>
        <sz val="10"/>
        <rFont val="Arial"/>
        <family val="2"/>
      </rPr>
      <t xml:space="preserve"> =</t>
    </r>
  </si>
  <si>
    <t xml:space="preserve">Healthy Bus 2 = </t>
  </si>
  <si>
    <r>
      <t>59BK2P</t>
    </r>
    <r>
      <rPr>
        <sz val="10"/>
        <rFont val="Arial"/>
        <family val="2"/>
      </rPr>
      <t xml:space="preserve"> =</t>
    </r>
  </si>
  <si>
    <t xml:space="preserve">Hot Line Indication Overvoltage = </t>
  </si>
  <si>
    <t>Eq 12.14</t>
  </si>
  <si>
    <t>Line relay volt input</t>
  </si>
  <si>
    <t>(421)ASV057:=</t>
  </si>
  <si>
    <t>Eq 12.15</t>
  </si>
  <si>
    <t>(411L)ASV057:=</t>
  </si>
  <si>
    <r>
      <t>(311) 59SP</t>
    </r>
    <r>
      <rPr>
        <sz val="10"/>
        <rFont val="Arial"/>
        <family val="2"/>
      </rPr>
      <t xml:space="preserve"> =</t>
    </r>
  </si>
  <si>
    <t>Eq 12.16</t>
  </si>
  <si>
    <t>Sync source voltage</t>
  </si>
  <si>
    <t xml:space="preserve">Automation 1, line 26 </t>
  </si>
  <si>
    <t xml:space="preserve"> (421) AMV004:=</t>
  </si>
  <si>
    <t xml:space="preserve">NERC PRC-023-3 &amp; PRC-025-2 Compliance </t>
  </si>
  <si>
    <t>Apllicable NERC Criteria</t>
  </si>
  <si>
    <t>PRC-023-3 Transmission Line Relay Loadability Criteria</t>
  </si>
  <si>
    <t>PRC-023-3 Margin</t>
  </si>
  <si>
    <t>PRC-023-3 Selected Criteria</t>
  </si>
  <si>
    <t>TARP Multiplication Factor</t>
  </si>
  <si>
    <t>Loadability Limit with TARP Factor</t>
  </si>
  <si>
    <t>Max. Z3Fwd in Ohms Sec</t>
  </si>
  <si>
    <t>ZONE 3 Forward Z4P Ohms Sec</t>
  </si>
  <si>
    <t>Min Resis Coverage Available After Load Encroach</t>
  </si>
  <si>
    <t>SOTF Low Set Pickup</t>
  </si>
  <si>
    <t>SOTF Low Set Pickup Voltage Supervision</t>
  </si>
  <si>
    <t>SOTF High Set Pickup</t>
  </si>
  <si>
    <t>PRC-025-2 Generator Relay Loadability Criteria</t>
  </si>
  <si>
    <t>PRC-025 Criteria</t>
  </si>
  <si>
    <t>PRC-025-2 Margin</t>
  </si>
  <si>
    <t>PRC-025 Selected Criteria</t>
  </si>
  <si>
    <t>Loadability Limit in Ohms Sec</t>
  </si>
  <si>
    <t>Loadability Limit in Primary Amps</t>
  </si>
  <si>
    <t>Transient Load Angle</t>
  </si>
  <si>
    <t>MTA for Phase elements in Deg</t>
  </si>
  <si>
    <t>Load Encroachment Angle in Deg</t>
  </si>
  <si>
    <t>*If Zone 3 forward is greater than Loadability limit then Load Encroachment setting should be less than the loadability limit</t>
  </si>
  <si>
    <t>References</t>
  </si>
  <si>
    <r>
      <t>[1] NERC, "PRC-023-3 --- Transmission Relay Loadability", October 1</t>
    </r>
    <r>
      <rPr>
        <vertAlign val="superscript"/>
        <sz val="10"/>
        <rFont val="Arial"/>
        <family val="2"/>
      </rPr>
      <t>st</t>
    </r>
    <r>
      <rPr>
        <sz val="10"/>
        <rFont val="Arial"/>
        <family val="2"/>
      </rPr>
      <t xml:space="preserve">, 2014 </t>
    </r>
  </si>
  <si>
    <t>NOTE: Loadability Limit includes PRC-023-3 margins that will typically make it greater than Line Limit.  Loadability Limit is used in place of Line Limit in the distance relaying calculations where necessary to satisfy PRC-023-3.  Line Limit has continued to be used elsewhere in the calculations as in the legacy calculations prior to PRC-023-3.</t>
  </si>
  <si>
    <t>[2] NERC Planning Committee, "Increase Line Loadability by Enabling Load Encroachment Functions of Digital Relays", December 7, 2005</t>
  </si>
  <si>
    <t>[3] IEEE Std C37.113-1999 (R2004), IEEE Guide for Protective Relay Applications to Transmission Lines</t>
  </si>
  <si>
    <t>[4] IEEE Std C37.110-2007, IEEE Guide for the Application of Current Transformers Used for Protective Relaying Purposes</t>
  </si>
  <si>
    <t>[5] SEL, "SEL-421 Relay Instruction Manual", July 15, 2009 (VnFIM are secondary quantities, per Appendix B)</t>
  </si>
  <si>
    <t>[6] Entergy, "PN020102 - Coupling Capacitor Voltage Transformer  Specification", September 2009</t>
  </si>
  <si>
    <t>Table 6.1.5</t>
  </si>
  <si>
    <t>Performance Reference Voltage</t>
  </si>
  <si>
    <t>Nameplate Ratio</t>
  </si>
  <si>
    <t>Nameplate Secondary Voltage</t>
  </si>
  <si>
    <t>69 kV</t>
  </si>
  <si>
    <t>40.25 kV</t>
  </si>
  <si>
    <t>350 / 600:1</t>
  </si>
  <si>
    <t>115 / 67.1 Volts</t>
  </si>
  <si>
    <t>115 kV</t>
  </si>
  <si>
    <t>600 / 1000:1</t>
  </si>
  <si>
    <t>115 / 69 Volts</t>
  </si>
  <si>
    <t>138 kV</t>
  </si>
  <si>
    <t>80.5 kV</t>
  </si>
  <si>
    <t>700 / 1200:1</t>
  </si>
  <si>
    <t>161 kV</t>
  </si>
  <si>
    <t>92 kV</t>
  </si>
  <si>
    <t>800 / 1400:1</t>
  </si>
  <si>
    <t>115 / 65.7 Volts</t>
  </si>
  <si>
    <t>230 kV</t>
  </si>
  <si>
    <t>1200 / 2000:1</t>
  </si>
  <si>
    <t>345 kV</t>
  </si>
  <si>
    <t>209 kV</t>
  </si>
  <si>
    <t>1800 / 3000:1</t>
  </si>
  <si>
    <t>500 kV</t>
  </si>
  <si>
    <t>287.5 kV</t>
  </si>
  <si>
    <t>2500 / 4500:1</t>
  </si>
  <si>
    <t>115 / 63.8 Volts</t>
  </si>
  <si>
    <t>[7] NERC, "PRC-25-1 --- Generator Relay Laodability", October 1st, 2014</t>
  </si>
  <si>
    <t>Auto Mation logic</t>
  </si>
  <si>
    <r>
      <t xml:space="preserve">Note: This Summary sheet is only built to summarize all the settings calculations, it is setting engineers responsibility to cross check the pickups functionality with the settings file. There might be some  non standard settings which might use different relay element for the particular protective function than the one specified in this calculation sheet.
This summary sheet will only apply to the standard templates dated on or after 05-05-2010B. This summary sheet will not include the port settings or Mirror Bit channel configuration
</t>
    </r>
    <r>
      <rPr>
        <b/>
        <u/>
        <sz val="9"/>
        <color rgb="FFFF0000"/>
        <rFont val="Arial"/>
        <family val="2"/>
      </rPr>
      <t>Disclaimer:</t>
    </r>
    <r>
      <rPr>
        <b/>
        <sz val="9"/>
        <color rgb="FFFF0000"/>
        <rFont val="Arial"/>
        <family val="2"/>
      </rPr>
      <t xml:space="preserve"> not all the settings in the summary sheet will not apply to every template, setting engineer does not need to enter the disabled settings in setting template. </t>
    </r>
  </si>
  <si>
    <t>Setting Name</t>
  </si>
  <si>
    <t>Setting Value</t>
  </si>
  <si>
    <t>Setting Comment</t>
  </si>
  <si>
    <t>Protective Function</t>
  </si>
  <si>
    <t>RID</t>
  </si>
  <si>
    <t>Relay Identifier (39 Characters)</t>
  </si>
  <si>
    <t>CTRW</t>
  </si>
  <si>
    <t>CTRW Current Transformer Ratio - Input W</t>
  </si>
  <si>
    <t>CT Ratio winding W</t>
  </si>
  <si>
    <t>CTRX</t>
  </si>
  <si>
    <t>CTRX Current Transformer Ratio - Input X</t>
  </si>
  <si>
    <t>CT Ratio winding X</t>
  </si>
  <si>
    <t>PTRY</t>
  </si>
  <si>
    <t>PTRY Potential Transformer Ratio - Input Y</t>
  </si>
  <si>
    <t>Polarizing PT Ratio, Y winding</t>
  </si>
  <si>
    <t>VNOMY</t>
  </si>
  <si>
    <t>VNOMY PT Nominal Voltage (L-L) - Input Y</t>
  </si>
  <si>
    <t>Nominal Voltage Y winding</t>
  </si>
  <si>
    <t>PTRZ</t>
  </si>
  <si>
    <t>PTRZ Potential Transformer Ratio - Input Z</t>
  </si>
  <si>
    <t>PT Ratio Z winding</t>
  </si>
  <si>
    <t>VNOMZ</t>
  </si>
  <si>
    <t>VNOMZ PT Nominal Voltage (L-L) - Input Z</t>
  </si>
  <si>
    <t>Nominal Voltage Z Winding</t>
  </si>
  <si>
    <t>Z1MAG Positive-Sequence Line Impedance Magnitude</t>
  </si>
  <si>
    <t>Line +ve Seq Impedance</t>
  </si>
  <si>
    <t>Z1ANG Positive-Sequence Line Impedance Angle</t>
  </si>
  <si>
    <t>Line +ve Seq Impedance Angle</t>
  </si>
  <si>
    <t>Z0MAG Zero-Sequence Line Impedance Magnitude</t>
  </si>
  <si>
    <t>Line zero Seq Impedance</t>
  </si>
  <si>
    <t>Z0ANG Zero-Sequence Line Impedance Angle</t>
  </si>
  <si>
    <t>Line zero Seq Impedance Angle</t>
  </si>
  <si>
    <t>LL Line Length in miles</t>
  </si>
  <si>
    <t>E21MP</t>
  </si>
  <si>
    <t>E21MP Enable Mho Phase Distance Zones</t>
  </si>
  <si>
    <t>Number of phase mho elements</t>
  </si>
  <si>
    <t>E21MG</t>
  </si>
  <si>
    <t>E21MG Enable Mho Ground Distance Zones</t>
  </si>
  <si>
    <t>Number of Ground mho elements</t>
  </si>
  <si>
    <t>E21XG Enable Quadrilateral Ground Distance Zones</t>
  </si>
  <si>
    <t>Number of Ground Quad elements</t>
  </si>
  <si>
    <t>EDCMON</t>
  </si>
  <si>
    <t>EDCMON Enable  Station DC Battery Monitor</t>
  </si>
  <si>
    <t>Number of Station DC Battery Monitor</t>
  </si>
  <si>
    <t>Z1MP</t>
  </si>
  <si>
    <t>Z1MP Zone 1 Reach</t>
  </si>
  <si>
    <t>Zone 1 Phase reach</t>
  </si>
  <si>
    <t>Z2MP</t>
  </si>
  <si>
    <t>Z2MP Zone 2 Reach</t>
  </si>
  <si>
    <t>Zone 2 Phase reach</t>
  </si>
  <si>
    <t>Z3MP</t>
  </si>
  <si>
    <t>Z3MP Zone 3 Reach</t>
  </si>
  <si>
    <t>Zone 3 Reverse Phase reach</t>
  </si>
  <si>
    <t>Z4MP</t>
  </si>
  <si>
    <t>Z4MP Zone 4 Reach</t>
  </si>
  <si>
    <t>Zone 3 Forward Phase reach</t>
  </si>
  <si>
    <t>Z5MP</t>
  </si>
  <si>
    <t>Z5MP Zone 5 Reach</t>
  </si>
  <si>
    <t>Extended Pilot Phase reach</t>
  </si>
  <si>
    <t>Z4PD</t>
  </si>
  <si>
    <t>Z4PD Zone 4 Time Delay</t>
  </si>
  <si>
    <t>Zone 3 Forward Phase Time delay</t>
  </si>
  <si>
    <t>Z1MG Zone 1</t>
  </si>
  <si>
    <t>Zone 1 Ground reach</t>
  </si>
  <si>
    <t>Z2MG Zone 2</t>
  </si>
  <si>
    <t>Zone 2 Ground reach</t>
  </si>
  <si>
    <t>Z3MG Zone 3</t>
  </si>
  <si>
    <t>Zone 3 Reverse Ground reach</t>
  </si>
  <si>
    <t>Z4MG Zone 4</t>
  </si>
  <si>
    <t>Zone 3 Forward Ground reach</t>
  </si>
  <si>
    <t>Z5MG Zone 5</t>
  </si>
  <si>
    <t>Extended Pilot Ground reach</t>
  </si>
  <si>
    <t>XG1</t>
  </si>
  <si>
    <t>XG1 Zone 1 Reactance</t>
  </si>
  <si>
    <t>Zone 1 Quad Ground Element</t>
  </si>
  <si>
    <t>RG1 Zone 1 Resistance</t>
  </si>
  <si>
    <t>XG2</t>
  </si>
  <si>
    <t>XG2 Zone 2 Reactance</t>
  </si>
  <si>
    <t>Zone 2 Quad Ground Element</t>
  </si>
  <si>
    <t>RG2 Zone 2 Resistance</t>
  </si>
  <si>
    <t>XG4</t>
  </si>
  <si>
    <t>XG4 Zone 4 Reactance</t>
  </si>
  <si>
    <t>Zone 3 Forward Quad Ground Element</t>
  </si>
  <si>
    <t>RG4 Zone 4 Resistance</t>
  </si>
  <si>
    <t>XG5</t>
  </si>
  <si>
    <t>XG5 Zone 5 Reactance</t>
  </si>
  <si>
    <t>Extended Pilot Forward Quad Ground Element</t>
  </si>
  <si>
    <t>RG5</t>
  </si>
  <si>
    <t>RG5 Zone 5 Resistance</t>
  </si>
  <si>
    <t>k0M1 Zone 1 ZSC Factor Magnitude</t>
  </si>
  <si>
    <t>Zero Seq Comp Factor</t>
  </si>
  <si>
    <t>k0A1 Zone 1 ZSC Factor Angle</t>
  </si>
  <si>
    <t>Z4GD</t>
  </si>
  <si>
    <t>Z4GD Zone 4 Time Delay</t>
  </si>
  <si>
    <t>Zone 3 Forward Ground Time delay</t>
  </si>
  <si>
    <t>Z1D</t>
  </si>
  <si>
    <t>Z1D Zone 1 Time Delay</t>
  </si>
  <si>
    <t>Zone 1 Time delay</t>
  </si>
  <si>
    <t>Z2D</t>
  </si>
  <si>
    <t>Z2D Zone 2 Time Delay</t>
  </si>
  <si>
    <t>Zone 2 Time delay</t>
  </si>
  <si>
    <t>Z4D</t>
  </si>
  <si>
    <t>Z4D Zone 4 Time Delay</t>
  </si>
  <si>
    <t>Evolving Fault Timer delay</t>
  </si>
  <si>
    <t>ZLF</t>
  </si>
  <si>
    <t>ZLF Forward Load Impedance</t>
  </si>
  <si>
    <t>Forward Load Encro Element</t>
  </si>
  <si>
    <t>ZLR</t>
  </si>
  <si>
    <t>ZLR Reverse Load Impedance</t>
  </si>
  <si>
    <t>Reverse Load Encro Element</t>
  </si>
  <si>
    <t>PLAF Forward Load Positive Angle</t>
  </si>
  <si>
    <t>NLAF Forward Load Negative Angle</t>
  </si>
  <si>
    <t>PLAR</t>
  </si>
  <si>
    <t>PLAR Reverse Load Positive Angle</t>
  </si>
  <si>
    <t>NLAR</t>
  </si>
  <si>
    <t>NLAR Reverse Load Negative Angle</t>
  </si>
  <si>
    <t>50P1P Level 1 Pickup</t>
  </si>
  <si>
    <t>67P1D</t>
  </si>
  <si>
    <t>67P1D Level 1 Time Delay</t>
  </si>
  <si>
    <t>SOTF Low Set Pickup delay</t>
  </si>
  <si>
    <t>67P1TC</t>
  </si>
  <si>
    <t>67P1TC Level 1 Torque Control Equation</t>
  </si>
  <si>
    <t>SOTF Low Set Pickup Torque Control</t>
  </si>
  <si>
    <t>50P2P</t>
  </si>
  <si>
    <t>50P2P Level 2 Pickup</t>
  </si>
  <si>
    <t>LOP Phase Pickup</t>
  </si>
  <si>
    <t>50P3P Level 3 Pickup</t>
  </si>
  <si>
    <t>50P4P Level 4 Pickup</t>
  </si>
  <si>
    <t>DTT Phase Pickup</t>
  </si>
  <si>
    <t>50G2P Level 2 Pickup</t>
  </si>
  <si>
    <t>Forward Directional ground Pilot element</t>
  </si>
  <si>
    <t>50G3P Level 3 Pickup</t>
  </si>
  <si>
    <t>Reverse Directional ground Pilot element</t>
  </si>
  <si>
    <t>50G4P Level 4 Pickup</t>
  </si>
  <si>
    <t>DTT Ground Pickup</t>
  </si>
  <si>
    <t>50Q3P</t>
  </si>
  <si>
    <t>50Q3P Level 3 Pickup</t>
  </si>
  <si>
    <t>Reverse Directional -ve seq Pilot element</t>
  </si>
  <si>
    <t>50Q4P Level 4 Pickup</t>
  </si>
  <si>
    <t>DTT negative seq Pickup</t>
  </si>
  <si>
    <t>51S1P</t>
  </si>
  <si>
    <t>51S1P 51S1 Overcurrent Pickup</t>
  </si>
  <si>
    <t>Inverse Time OC Ground element</t>
  </si>
  <si>
    <t>51S1C</t>
  </si>
  <si>
    <t>51S1C 51S1 Inverse-Time Overcurrent Curve</t>
  </si>
  <si>
    <t>Inverse Time OC Ground element Curve</t>
  </si>
  <si>
    <t>51S1TD</t>
  </si>
  <si>
    <t>51S1TD 51S1 Inverse-Time Overcurrent Time Dial</t>
  </si>
  <si>
    <t>Inverse Time OC Ground element time dial</t>
  </si>
  <si>
    <t>51S2P</t>
  </si>
  <si>
    <t>51S2P 51S2 Overcurrent Pickup</t>
  </si>
  <si>
    <t>LOP Neg Seq element</t>
  </si>
  <si>
    <t>50FP1</t>
  </si>
  <si>
    <t>50FP1 Phase Fault Current Pickup</t>
  </si>
  <si>
    <t>Bk1 Breaker Fail Phase Pickup</t>
  </si>
  <si>
    <t>BFPU1</t>
  </si>
  <si>
    <t>BFPU1 Breaker Failure Time Delay</t>
  </si>
  <si>
    <t>Bk1 Breaker Fail Timer</t>
  </si>
  <si>
    <t>50RP1</t>
  </si>
  <si>
    <t>50RP1 Residual Current Pickup</t>
  </si>
  <si>
    <t>Bk1 Breaker Fail Residual Pickup</t>
  </si>
  <si>
    <t>NPU1</t>
  </si>
  <si>
    <t>NPU1 No Current Breaker Failure Delay</t>
  </si>
  <si>
    <t>50FP2</t>
  </si>
  <si>
    <t>50FP2 Phase Fault Current Pickup</t>
  </si>
  <si>
    <t>Bk2 Breaker Fail Phase Pickup</t>
  </si>
  <si>
    <t>BFPU2</t>
  </si>
  <si>
    <t>BFPU2 Breaker Failure Time Delay</t>
  </si>
  <si>
    <t>Bk2 Breaker Fail Timer</t>
  </si>
  <si>
    <t>50RP2</t>
  </si>
  <si>
    <t>50RP2 Residual Current Pickup</t>
  </si>
  <si>
    <t>Bk2 Breaker Fail Residual Pickup</t>
  </si>
  <si>
    <t>NPU2</t>
  </si>
  <si>
    <t>NPU2 No Current Breaker Failure Delay</t>
  </si>
  <si>
    <t>SYNCP</t>
  </si>
  <si>
    <t>SYNCP Synchronism Reference</t>
  </si>
  <si>
    <t>Sync Line Voltage</t>
  </si>
  <si>
    <t>25VL</t>
  </si>
  <si>
    <t>25VL Voltage Window Low Threshold</t>
  </si>
  <si>
    <t>Sync Check Low Voltage Threshold</t>
  </si>
  <si>
    <t>25VH</t>
  </si>
  <si>
    <t>25VH Voltage Window High Threshold</t>
  </si>
  <si>
    <t>Sync Check High Voltage Threshold</t>
  </si>
  <si>
    <t>SYNCS1</t>
  </si>
  <si>
    <t>SYNCS1 Synchronism Source 1</t>
  </si>
  <si>
    <t>Sync Bus1 Voltage</t>
  </si>
  <si>
    <t>KS1M</t>
  </si>
  <si>
    <t>KS1M Synchronism Source 1 Ratio Factor</t>
  </si>
  <si>
    <t>Sync Source 1 Ratio Comp Factor</t>
  </si>
  <si>
    <t>KS1A</t>
  </si>
  <si>
    <t>KS1A Synchronism Source 1 Angle Shift</t>
  </si>
  <si>
    <t>Sync Source 1 Angle Comp Factor</t>
  </si>
  <si>
    <t>SYNCS2</t>
  </si>
  <si>
    <t>SYNCS2 Synchronism Source 2</t>
  </si>
  <si>
    <t>Sync Bus2 Voltage</t>
  </si>
  <si>
    <t>KS2M</t>
  </si>
  <si>
    <t>KS2M Synchronism Source 2 Ratio Factor</t>
  </si>
  <si>
    <t>KS2A</t>
  </si>
  <si>
    <t>KS2A Synchronism Source 2 Angle Shift</t>
  </si>
  <si>
    <t>27LP</t>
  </si>
  <si>
    <t>27LP Dead Line Voltage</t>
  </si>
  <si>
    <t>Dead Line</t>
  </si>
  <si>
    <t>59LP</t>
  </si>
  <si>
    <t>59LP Live Line Voltage</t>
  </si>
  <si>
    <t>Live Line</t>
  </si>
  <si>
    <t>27BK1P</t>
  </si>
  <si>
    <t>27BK1P Breaker 1 Dead Busbar Voltage</t>
  </si>
  <si>
    <t>Dead Bus 1</t>
  </si>
  <si>
    <t>59BK1P</t>
  </si>
  <si>
    <t>59BK1P Breaker 1 Live Busbar Voltage</t>
  </si>
  <si>
    <t>Live Bus 1</t>
  </si>
  <si>
    <t>27BK2P</t>
  </si>
  <si>
    <t>27BK2P Breaker 2 Dead Busbar Voltage</t>
  </si>
  <si>
    <t>Dead Bus 2</t>
  </si>
  <si>
    <t>59BK2P</t>
  </si>
  <si>
    <t>59BK2P Breaker 2 Live Busbar Voltage</t>
  </si>
  <si>
    <t>Live Bus 2</t>
  </si>
  <si>
    <t>PCT01PU</t>
  </si>
  <si>
    <t>PILOT EXTENSION TIME PCT01PU</t>
  </si>
  <si>
    <t>Extended Pilot Timer</t>
  </si>
  <si>
    <t>3V0 PICKUP IN PMV05</t>
  </si>
  <si>
    <t>Transfer trip superv Zero Seq Voltage Pickup</t>
  </si>
  <si>
    <t>UNDERVOLTAGE PICKUP IN PMV06</t>
  </si>
  <si>
    <t>Transfer trip phase Voltage Pickup</t>
  </si>
  <si>
    <t>PSV10</t>
  </si>
  <si>
    <t>TRANSFER TRIP FAULT DETECTOR ENABLE</t>
  </si>
  <si>
    <t>Transfer trip Fault detector enable</t>
  </si>
  <si>
    <t>PSV12</t>
  </si>
  <si>
    <t>ZONE 4 VOLTAGE SUPERVISION</t>
  </si>
  <si>
    <t>Zone 3 Forw Supv enable</t>
  </si>
  <si>
    <t>PMV10</t>
  </si>
  <si>
    <t>ZONE 4 PHASE VOLTAGE SUPERVISION PICKUP</t>
  </si>
  <si>
    <t>Zone 3 Forw Supv phase pickup</t>
  </si>
  <si>
    <t>PMV11</t>
  </si>
  <si>
    <t xml:space="preserve">ZONE 4 3V0 VOLTAGE SUPERVISION PICKUP </t>
  </si>
  <si>
    <t>Zone 3 Forw Supv zero seq pickup</t>
  </si>
  <si>
    <t>SOTF VOLTAGE SUPERVISION</t>
  </si>
  <si>
    <t>SOTF Phase Voltage supervision</t>
  </si>
  <si>
    <t>PCT14PU</t>
  </si>
  <si>
    <t>FAST LOP Timer</t>
  </si>
  <si>
    <t>Fast LOP</t>
  </si>
  <si>
    <t>PCT16PU</t>
  </si>
  <si>
    <t>LOP Timer</t>
  </si>
  <si>
    <t>LOP Trip Timer</t>
  </si>
  <si>
    <t>PMV40</t>
  </si>
  <si>
    <t>STUB BUS LINE CURRENT (AMPS SEC.) IN PMV40</t>
  </si>
  <si>
    <t>Stub Bus Pickup</t>
  </si>
  <si>
    <t>PSV58</t>
  </si>
  <si>
    <t>STUB BUS PROTECTION ENABLE</t>
  </si>
  <si>
    <t>Stub Bus enable</t>
  </si>
  <si>
    <t>ASV041</t>
  </si>
  <si>
    <t>FAULT LOCATION</t>
  </si>
  <si>
    <t>Fault Location</t>
  </si>
  <si>
    <t>FLOC&gt;,FLOC&lt;</t>
  </si>
  <si>
    <t>AMV004</t>
  </si>
  <si>
    <t>SYNC SOURCE VOLTAGE</t>
  </si>
  <si>
    <t>Sync Source Voltage or Line Voltage</t>
  </si>
  <si>
    <t>ASV057</t>
  </si>
  <si>
    <t>#</t>
  </si>
  <si>
    <t>Headings Number in PM1804 Word Document</t>
  </si>
  <si>
    <t>Calc Sheet Equation Number</t>
  </si>
  <si>
    <t>Setting Elements in Calc Sheet (421-3)</t>
  </si>
  <si>
    <t>Setting Elements Descriptions</t>
  </si>
  <si>
    <t>Location: (Worksheet name : Title)</t>
  </si>
  <si>
    <t>Comment</t>
  </si>
  <si>
    <t>4.1 &amp; 4.2</t>
  </si>
  <si>
    <t>X/R</t>
  </si>
  <si>
    <t>Ratio of reactance to resistance</t>
  </si>
  <si>
    <t>Fault Analysis :3Ph Fault Close in End Open X/R</t>
  </si>
  <si>
    <t>4.3 - 4.5</t>
  </si>
  <si>
    <t>Source impedance ratio</t>
  </si>
  <si>
    <t>Fault Analysis :Source Impedance Ratio (Phase Faults)</t>
  </si>
  <si>
    <t>4.6-4.10</t>
  </si>
  <si>
    <t>Zone 1 phase-to-phase current FD</t>
  </si>
  <si>
    <t>Fault Analysis :Phase Fault Detector Settings:</t>
  </si>
  <si>
    <t>4.11-4.12</t>
  </si>
  <si>
    <t>Phase Differential Fault Detector:</t>
  </si>
  <si>
    <t>Fault Analysis :Differential Pickups</t>
  </si>
  <si>
    <t>4.13-4.14</t>
  </si>
  <si>
    <t>Negative Sequence Differential Fault Detectors</t>
  </si>
  <si>
    <t>4.15-4.16</t>
  </si>
  <si>
    <t>Ground Differential Fault Detectors</t>
  </si>
  <si>
    <t>10.2-10.5</t>
  </si>
  <si>
    <t xml:space="preserve">Phase Overcurrent element Settings </t>
  </si>
  <si>
    <t>SOTF</t>
  </si>
  <si>
    <t>10.11-10.13</t>
  </si>
  <si>
    <t xml:space="preserve">50P3P </t>
  </si>
  <si>
    <t>SEL Trip Narrative</t>
  </si>
  <si>
    <t>8.1-8.12</t>
  </si>
  <si>
    <t>LOP</t>
  </si>
  <si>
    <t>8.3.3</t>
  </si>
  <si>
    <t>8.13-8.28</t>
  </si>
  <si>
    <t>51S1P or 51GP</t>
  </si>
  <si>
    <t xml:space="preserve">Residual ground Over current element settings </t>
  </si>
  <si>
    <t>8.29-8.45</t>
  </si>
  <si>
    <t>51S2P or 51QP</t>
  </si>
  <si>
    <t>Selectable Inverse Time Overcurrent Settings (4XX relays)or 51QP (3XX Relays)</t>
  </si>
  <si>
    <t>8.1.1</t>
  </si>
  <si>
    <t>4.17-4.21</t>
  </si>
  <si>
    <t>Fault Analysis :Ground Overcurrent Pilot Settings</t>
  </si>
  <si>
    <t>Transfer Trip Narrative</t>
  </si>
  <si>
    <t>9.6-9.9</t>
  </si>
  <si>
    <t>Relay Word</t>
  </si>
  <si>
    <t>Transfer Trip</t>
  </si>
  <si>
    <t>9.10-9.11</t>
  </si>
  <si>
    <t>Phase-to-phase undervoltage pickup</t>
  </si>
  <si>
    <t>9.12-9.14</t>
  </si>
  <si>
    <t>First ground instantaneous overvoltage element 59N1 picked up</t>
  </si>
  <si>
    <t xml:space="preserve">PMV05 </t>
  </si>
  <si>
    <t xml:space="preserve">PSV02 </t>
  </si>
  <si>
    <t>Protection SELOGIC Variable 2</t>
  </si>
  <si>
    <t>9.3-9.5</t>
  </si>
  <si>
    <t>PSV10 or SET16</t>
  </si>
  <si>
    <t>Transfer Trip Supervision enabled</t>
  </si>
  <si>
    <t xml:space="preserve">Need attention </t>
  </si>
  <si>
    <t>9.20-9.21</t>
  </si>
  <si>
    <t>50P4P or 51PP</t>
  </si>
  <si>
    <t>9.22-9.24</t>
  </si>
  <si>
    <t>9.25-9.26</t>
  </si>
  <si>
    <t>50Q1P (old templates)</t>
  </si>
  <si>
    <t>Negative-Sequence Instantaneous Overcurrent Pickup</t>
  </si>
  <si>
    <t xml:space="preserve">50Q4P </t>
  </si>
  <si>
    <t xml:space="preserve">PMV40 </t>
  </si>
  <si>
    <t>Fault Analysis : Stub Bus Minimum Pickup Setting</t>
  </si>
  <si>
    <t>6.1.2</t>
  </si>
  <si>
    <t>Mho Phase Distance Element Reach</t>
  </si>
  <si>
    <t>Zone Imp: ZONE 1 CALCULATION</t>
  </si>
  <si>
    <t>6.1.2.1</t>
  </si>
  <si>
    <t>Mho Ground Distance Element Reach</t>
  </si>
  <si>
    <t>6.2.1</t>
  </si>
  <si>
    <t>Zone Imp: ZONE 2 / ZONE PILOT CALC</t>
  </si>
  <si>
    <t>8.1.1.2</t>
  </si>
  <si>
    <t>Protection conditioning timer pickup time</t>
  </si>
  <si>
    <t>Zone Imp: Extended Pilot Reach</t>
  </si>
  <si>
    <t>67G2D</t>
  </si>
  <si>
    <t>residual ground element time delay settings -Level 2</t>
  </si>
  <si>
    <t>7.2.7</t>
  </si>
  <si>
    <t xml:space="preserve">Z5P </t>
  </si>
  <si>
    <t>Forward Load Impedance-Load Encroachment</t>
  </si>
  <si>
    <t>Zone Imp: ZONE 3 FORWARD CALCULATION</t>
  </si>
  <si>
    <t>Reverse Load Impedance-Load Encroachment</t>
  </si>
  <si>
    <t>Zone Imp: ZONE 3 REVERSE CALCULATION</t>
  </si>
  <si>
    <t>Phase Fault Current Pickup</t>
  </si>
  <si>
    <t>BF Fault Det: Breaker Failure Fault Detectors</t>
  </si>
  <si>
    <t xml:space="preserve">50RP1 </t>
  </si>
  <si>
    <t>Residual Current Pickup</t>
  </si>
  <si>
    <t>50G4 P</t>
  </si>
  <si>
    <t>in Fault Analysis :Transfer Trip Receive Supervision Settings</t>
  </si>
  <si>
    <t>Breaker Failure Time Delay</t>
  </si>
  <si>
    <t>BF Fault Det</t>
  </si>
  <si>
    <t xml:space="preserve">NPU1 </t>
  </si>
  <si>
    <t>No Current Breaker Failure Delay</t>
  </si>
  <si>
    <t>SV4PU</t>
  </si>
  <si>
    <t>SV4 Pickup Time</t>
  </si>
  <si>
    <t xml:space="preserve">50FP2 </t>
  </si>
  <si>
    <t>BF Fault Det (2): Breaker Failure Fault Detectors</t>
  </si>
  <si>
    <t xml:space="preserve">50RP2 </t>
  </si>
  <si>
    <t xml:space="preserve">BFPU2 </t>
  </si>
  <si>
    <t xml:space="preserve">NPU2 </t>
  </si>
  <si>
    <t>Positive-Sequence Line Impedance Magnitude</t>
  </si>
  <si>
    <t>Relay Calc : Positive Seq Fault Locator Settings</t>
  </si>
  <si>
    <t>Relay Calc</t>
  </si>
  <si>
    <t>Positive-Sequence Line Impedance Angle</t>
  </si>
  <si>
    <t>Zero-Sequence Line Impedance Magnitude</t>
  </si>
  <si>
    <t>Relay Calc : Negative Seq Fault Locator Settings</t>
  </si>
  <si>
    <t>Zero-Sequence Line Impedance Angle</t>
  </si>
  <si>
    <t>Zone 1 ZSC Factor Magnitude</t>
  </si>
  <si>
    <t>Relay Calc : Zero Sequence Compensation Factor</t>
  </si>
  <si>
    <t>Zone 1 ZSC Factor Angle</t>
  </si>
  <si>
    <t>Quadrilateral Ground Distance Zones</t>
  </si>
  <si>
    <t>Relay Calc : Quadrilateral</t>
  </si>
  <si>
    <t>Zone 1 Resistance</t>
  </si>
  <si>
    <t>Zone 2 Resistance</t>
  </si>
  <si>
    <t>Zone 3 Resistance</t>
  </si>
  <si>
    <t>Zone 4 Resistance</t>
  </si>
  <si>
    <t>Zone 5 Resistance</t>
  </si>
  <si>
    <t xml:space="preserve">Automation 1, Row 6 </t>
  </si>
  <si>
    <t>Relay Calc : Fault Locator</t>
  </si>
  <si>
    <t>PT Nominal Voltage (L-L)—Input Y</t>
  </si>
  <si>
    <t>Voltage calcs: Voltage Calculations, Dead Line, Dead Bus &amp; Synch relay elements</t>
  </si>
  <si>
    <t>PT Nominal Voltage (L-L)—Input Z</t>
  </si>
  <si>
    <t>Synch Source 1 Ratio Factor</t>
  </si>
  <si>
    <t>Voltage Calcs: Sync Check Settings (421 Only)</t>
  </si>
  <si>
    <t>Voltage Window High Threshold (volts)</t>
  </si>
  <si>
    <t>Voltage Window Low Threshold (volts)</t>
  </si>
  <si>
    <t>Synch Reference</t>
  </si>
  <si>
    <t>Dead Line Voltage</t>
  </si>
  <si>
    <t>Live Line Voltage</t>
  </si>
  <si>
    <t>Breaker 1 Dead Busbar Voltage</t>
  </si>
  <si>
    <t>Breaker 1 Live Busbar Voltage</t>
  </si>
  <si>
    <t>Level 1 Torque Control (SELOGIC Equation)</t>
  </si>
  <si>
    <t>Autp Logic check</t>
  </si>
  <si>
    <r>
      <t xml:space="preserve">Note: This Summary sheet is only built to summarize all the settings calculations, it is setting engineers responsibility to cross check the pickups functionality with the settings file. There might be some  non standard settings which might use different relay element for the particular protective function than the one specified in this calculation sheet.
This summary sheet will only apply to the standard templates. This summary sheet will not include the port settings or Mirror Bit channel configuration
</t>
    </r>
    <r>
      <rPr>
        <b/>
        <u/>
        <sz val="9"/>
        <color rgb="FFFF0000"/>
        <rFont val="Arial"/>
        <family val="2"/>
      </rPr>
      <t>Disclaimer:</t>
    </r>
    <r>
      <rPr>
        <b/>
        <sz val="9"/>
        <color rgb="FFFF0000"/>
        <rFont val="Arial"/>
        <family val="2"/>
      </rPr>
      <t xml:space="preserve"> not all the settings in the summary sheet will not apply to every template, setting engineer does not need to enter the disabled settings in setting template. </t>
    </r>
  </si>
  <si>
    <t>Update Breaker ID in RDB</t>
  </si>
  <si>
    <t>Update Settings in RDB</t>
  </si>
  <si>
    <t>BID1</t>
  </si>
  <si>
    <t>Breake Identifier</t>
  </si>
  <si>
    <t>BID2</t>
  </si>
  <si>
    <t>Breaker Identifier</t>
  </si>
  <si>
    <t>E87L</t>
  </si>
  <si>
    <t>Y</t>
  </si>
  <si>
    <t>E87L Enable Line Current Differential Protection 87L</t>
  </si>
  <si>
    <t>Differential Protection enable</t>
  </si>
  <si>
    <t>87CTP1R</t>
  </si>
  <si>
    <t>87CTP1R Maximum Primary Current Rating for Remote Relay 1 CT</t>
  </si>
  <si>
    <t>87 Diff Remote CT setting</t>
  </si>
  <si>
    <t>87LPP</t>
  </si>
  <si>
    <t>87LPP Pickup value for Phase Differential Element</t>
  </si>
  <si>
    <t>87 Diff Phase Pickup</t>
  </si>
  <si>
    <t>87LQP</t>
  </si>
  <si>
    <t>87LQP Pickup value for Negative Sequence Differential Element</t>
  </si>
  <si>
    <t>87 Diff Negative Seq Pickup</t>
  </si>
  <si>
    <t>87LGP</t>
  </si>
  <si>
    <t>87LGP Pickup value for Zero Sequence Differential Element</t>
  </si>
  <si>
    <t>87 Diff Zero Seq Pickup</t>
  </si>
  <si>
    <t>51P01</t>
  </si>
  <si>
    <t>51P01 Inverse Time Overcurrent 01 Pickup Value Equation</t>
  </si>
  <si>
    <t>51C01</t>
  </si>
  <si>
    <t>51C01 Inverse Time Overcurrent 01 Curve Selection</t>
  </si>
  <si>
    <t>51TD01</t>
  </si>
  <si>
    <t>51TD01 Inverse Time Overcurrent 01 Time Dial Equation</t>
  </si>
  <si>
    <t>51P02</t>
  </si>
  <si>
    <t>51P02 Inverse Time Overcurrent 02 Pickup Value Equation</t>
  </si>
  <si>
    <t>CONFLOC&gt;,CONFLOC&lt;</t>
  </si>
  <si>
    <t>TMB1B</t>
  </si>
  <si>
    <r>
      <t xml:space="preserve">Note: This Summary sheet is only built to summarize all the settings calculations, it is setting engineers responsibility to cross check the pickups functionality with the settings file. There might be some  non standard settings which might use different relay element for the particular protective function than the one specified in this calculation sheet.
This summary sheet will only apply to the standard templates dated on or after 05-05-2010D. This summary sheet will not include the port settings or Mirror Bit channel configuration
</t>
    </r>
    <r>
      <rPr>
        <b/>
        <u/>
        <sz val="9"/>
        <color rgb="FFFF0000"/>
        <rFont val="Arial"/>
        <family val="2"/>
      </rPr>
      <t>Disclaimer:</t>
    </r>
    <r>
      <rPr>
        <b/>
        <sz val="9"/>
        <color rgb="FFFF0000"/>
        <rFont val="Arial"/>
        <family val="2"/>
      </rPr>
      <t xml:space="preserve"> not all the settings in the summary sheet will not apply to every template, setting engineer does not need to enter the disabled settings in setting template. </t>
    </r>
  </si>
  <si>
    <t>CTR Phase (IA,IB,IC) CT Ratio</t>
  </si>
  <si>
    <t>CT Ratio Line</t>
  </si>
  <si>
    <t>CTRN</t>
  </si>
  <si>
    <t>CTRN Neutral (IN) CT Ratio</t>
  </si>
  <si>
    <t>CT Ratio winding Neutral</t>
  </si>
  <si>
    <t>PTR Phase (VA,VB,VC) PT Ratio</t>
  </si>
  <si>
    <t>Polarizing PT Ratio</t>
  </si>
  <si>
    <t>PTRS</t>
  </si>
  <si>
    <t>PTRS Synch. Voltage (VS) PT Ratio</t>
  </si>
  <si>
    <t>PT Ratio S winding</t>
  </si>
  <si>
    <t>VNOM</t>
  </si>
  <si>
    <t>VNOM Phase Nominal Voltage L-N</t>
  </si>
  <si>
    <t xml:space="preserve">Nominal Voltage </t>
  </si>
  <si>
    <t>E21P</t>
  </si>
  <si>
    <t>Z1P Zone 1 Reach</t>
  </si>
  <si>
    <t>Z2P Zone 2 Reach</t>
  </si>
  <si>
    <t>Z3P Zone 3 Reach</t>
  </si>
  <si>
    <t>Z4P Zone 4 Reach</t>
  </si>
  <si>
    <t>50PP1 Zone 1 Phase-Phase Current FD</t>
  </si>
  <si>
    <t>Breaker failure Phase Pickup</t>
  </si>
  <si>
    <t>50Q1P</t>
  </si>
  <si>
    <t>50Q1P Level 1</t>
  </si>
  <si>
    <t>New template Open Phase alarm Old templates DTT supervision (if needed increase it)</t>
  </si>
  <si>
    <t>51PP Pickup</t>
  </si>
  <si>
    <t>51GP</t>
  </si>
  <si>
    <t>51GP Pickup</t>
  </si>
  <si>
    <t>51GC</t>
  </si>
  <si>
    <t>51PC Curve</t>
  </si>
  <si>
    <t>51GTD</t>
  </si>
  <si>
    <t>51PTD Time Dial</t>
  </si>
  <si>
    <t>51QP</t>
  </si>
  <si>
    <t>51QP Pickup</t>
  </si>
  <si>
    <t>59P</t>
  </si>
  <si>
    <t>3V0 PICKUP IN Transfer Trip</t>
  </si>
  <si>
    <t>59N2P</t>
  </si>
  <si>
    <t>59SP</t>
  </si>
  <si>
    <t>UNDERVOLTAGE PICKUP IN Transfer trip</t>
  </si>
  <si>
    <t>SV7PU</t>
  </si>
  <si>
    <t>SET1</t>
  </si>
  <si>
    <t>RST1</t>
  </si>
  <si>
    <t>SET16</t>
  </si>
  <si>
    <t>RST16</t>
  </si>
  <si>
    <t>CTRP</t>
  </si>
  <si>
    <r>
      <t xml:space="preserve">Note: This Summary sheet is only built to summarize all the settings calculations, it is setting engineers responsibility to cross check the pickups functionality with the settings file. There might be some  non standard settings which might use different relay element for the particular protective function than the one specified in this calculation sheet.
This summary sheet will only apply to the standard templates dated on or after 05-05-2010C. This summary sheet will not include the port settings or Mirror Bit channel configuration
</t>
    </r>
    <r>
      <rPr>
        <b/>
        <u/>
        <sz val="9"/>
        <color rgb="FFFF0000"/>
        <rFont val="Arial"/>
        <family val="2"/>
      </rPr>
      <t>Disclaimer:</t>
    </r>
    <r>
      <rPr>
        <b/>
        <sz val="9"/>
        <color rgb="FFFF0000"/>
        <rFont val="Arial"/>
        <family val="2"/>
      </rPr>
      <t xml:space="preserve"> not all the settings in the summary sheet will not apply to every template, setting engineer does not need to enter the disabled settings in setting template. </t>
    </r>
  </si>
  <si>
    <t>CTR_X</t>
  </si>
  <si>
    <t>CTR_X CTR at Terminal Connected to Channel X</t>
  </si>
  <si>
    <t>87 Diff Remote X term CT setting</t>
  </si>
  <si>
    <t>CTR_Y</t>
  </si>
  <si>
    <t>CTR_Y CTR at Terminal Connected to Channel Y</t>
  </si>
  <si>
    <t>87 Diff Remote Y term CT setting</t>
  </si>
  <si>
    <t>** For a Three Terminal Network this CT ratio might be different than CTR_X</t>
  </si>
  <si>
    <t>87LPP Phase 87L (Amps secondary)</t>
  </si>
  <si>
    <t>87L2P</t>
  </si>
  <si>
    <t>87L2P 3I2 Negative-Sequence 87L (Amps secondary)</t>
  </si>
  <si>
    <t>87LGP Ground 87L (Amps secondary)</t>
  </si>
  <si>
    <t>CTRP Polarizing (IPOL) CT Ratio, CTRP:1</t>
  </si>
  <si>
    <t>CT Ratio winding Polarizing</t>
  </si>
  <si>
    <t>Fault Analysis :SEL311L Phase Differential Fault Detector</t>
  </si>
  <si>
    <t xml:space="preserve"> Ground and Negative Sequence Differential Fault Detectors</t>
  </si>
  <si>
    <t>Fault Analysis :Phase Fault Detector Settings</t>
  </si>
  <si>
    <t>Fault Analysis :SOTF</t>
  </si>
  <si>
    <t>Fault Analysis : SOTF</t>
  </si>
  <si>
    <t>Fault Analysis :LOP</t>
  </si>
  <si>
    <t>Fault Analysis : Ground Time-Overcurrent Pickup Settings</t>
  </si>
  <si>
    <t xml:space="preserve">51S1P </t>
  </si>
  <si>
    <t xml:space="preserve">Selectable Inverse Time Overcurrent Settings </t>
  </si>
  <si>
    <t>Fault Analysis :Transfer Trip Receive Supervision Settings</t>
  </si>
  <si>
    <t>Voltage Calcs: Switch Onto Fault Voltage Settings</t>
  </si>
  <si>
    <t>Phase undervoltage pickup</t>
  </si>
  <si>
    <t>OUTPUT 105</t>
  </si>
  <si>
    <t>Main Board Output</t>
  </si>
  <si>
    <t>Channel VS overvoltage pickup</t>
  </si>
  <si>
    <t xml:space="preserve">PSV05 </t>
  </si>
  <si>
    <t>Protection SELOGIC Variable 5</t>
  </si>
  <si>
    <t>Voltage Calcs: Voltage Supervision for Z3Fwd</t>
  </si>
  <si>
    <t>Phase overvoltage pickup</t>
  </si>
  <si>
    <t>Zero-sequence (3V0) overvoltage pickup</t>
  </si>
  <si>
    <t>[INFO]</t>
  </si>
  <si>
    <t xml:space="preserve">Values to be updated </t>
  </si>
  <si>
    <t>RELAYTYPE=SEL-421-3</t>
  </si>
  <si>
    <t xml:space="preserve">* This sheet is a prototype ONLY, and has not been approved by Standards. 
** The settings values are subject to changes and inaccuracy 
</t>
  </si>
  <si>
    <t>FID=SEL-421-3-XXXX-V0-Z012012-DXXXXXXXX</t>
  </si>
  <si>
    <t>BFID=SEL-421-3-XXXX-V0-Z012012-DXXXXXXXX</t>
  </si>
  <si>
    <t>PARTNO=042134152XXAXH65X1XXX</t>
  </si>
  <si>
    <t>[S1]</t>
  </si>
  <si>
    <t>CTRX,"120"</t>
  </si>
  <si>
    <t>PTRY,"1000"</t>
  </si>
  <si>
    <t>PTRZ,"600"</t>
  </si>
  <si>
    <t>LL,"39.71"</t>
  </si>
  <si>
    <t>EFLOC,"Y"</t>
  </si>
  <si>
    <t>E21P,"5"</t>
  </si>
  <si>
    <t>E21MG,"5"</t>
  </si>
  <si>
    <t>ECVT,"Y"</t>
  </si>
  <si>
    <t>ESERCMP,"N"</t>
  </si>
  <si>
    <t>ECDTD,"Y"</t>
  </si>
  <si>
    <t>ESOTF,"Y"</t>
  </si>
  <si>
    <t>EOOS,"N"</t>
  </si>
  <si>
    <t>ELOAD,"Y"</t>
  </si>
  <si>
    <t>E50P,"4"</t>
  </si>
  <si>
    <t>E50G,"4"</t>
  </si>
  <si>
    <t>E50Q,"4"</t>
  </si>
  <si>
    <t>E51S,"1"</t>
  </si>
  <si>
    <t>E32,"AUTO"</t>
  </si>
  <si>
    <t>ECOMM,"POTT"</t>
  </si>
  <si>
    <t>EBFL1,"1"</t>
  </si>
  <si>
    <t>E25BK1,"Y"</t>
  </si>
  <si>
    <t>E79,"N"</t>
  </si>
  <si>
    <t>EMANCL,"Y"</t>
  </si>
  <si>
    <t>ELOP,"Y1"</t>
  </si>
  <si>
    <t>EDEM,"THM"</t>
  </si>
  <si>
    <t>EADVS,"N"</t>
  </si>
  <si>
    <t>Z1PD,"OFF"</t>
  </si>
  <si>
    <t>Z2PD,"OFF"</t>
  </si>
  <si>
    <t>Z3PD,"OFF"</t>
  </si>
  <si>
    <t>Z4PD,"50.000"</t>
  </si>
  <si>
    <t>Z5PD,"OFF"</t>
  </si>
  <si>
    <t>Z1GD,"OFF"</t>
  </si>
  <si>
    <t>Z2GD,"OFF"</t>
  </si>
  <si>
    <t>Z3GD,"OFF"</t>
  </si>
  <si>
    <t>Z4GD,"50.000"</t>
  </si>
  <si>
    <t>Z5GD,"OFF"</t>
  </si>
  <si>
    <t>Z1D,"0.000"</t>
  </si>
  <si>
    <t>Z2D,"20.000"</t>
  </si>
  <si>
    <t>Z3D,"OFF"</t>
  </si>
  <si>
    <t>Z4D,"20.000"</t>
  </si>
  <si>
    <t>Z5D,"OFF"</t>
  </si>
  <si>
    <t>ESPSTF,"N"</t>
  </si>
  <si>
    <t>EVRST,"N"</t>
  </si>
  <si>
    <t>52AEND,"10.000"</t>
  </si>
  <si>
    <t>CLOEND,"OFF"</t>
  </si>
  <si>
    <t>SOTFD,"30.000"</t>
  </si>
  <si>
    <t>CLSMON,"NA"</t>
  </si>
  <si>
    <t>PLAF,"30.0"</t>
  </si>
  <si>
    <t>NLAF,"-30.0"</t>
  </si>
  <si>
    <t>PLAR,"150.0"</t>
  </si>
  <si>
    <t>NLAR,"210.0"</t>
  </si>
  <si>
    <t>67P1D,"2.000"</t>
  </si>
  <si>
    <t>67P2D,"0.000"</t>
  </si>
  <si>
    <t>67P3D,"0.000"</t>
  </si>
  <si>
    <t>67P4D,"0.000"</t>
  </si>
  <si>
    <t>67P2TC,"1"</t>
  </si>
  <si>
    <t>67P3TC,"1"</t>
  </si>
  <si>
    <t>67P4TC,"1"</t>
  </si>
  <si>
    <t>50G1P,"OFF"</t>
  </si>
  <si>
    <t>67G2D,"0.000"</t>
  </si>
  <si>
    <t>67G3D,"0.000"</t>
  </si>
  <si>
    <t>67G4D,"0.000"</t>
  </si>
  <si>
    <t>67G2TC,"1"</t>
  </si>
  <si>
    <t>67G3TC,"1"</t>
  </si>
  <si>
    <t>67G4TC,"1"</t>
  </si>
  <si>
    <t>50Q1P,"OFF"</t>
  </si>
  <si>
    <t>50Q2P,"OFF"</t>
  </si>
  <si>
    <t>50Q3P,"1.00"</t>
  </si>
  <si>
    <t>67Q3D,"0.000"</t>
  </si>
  <si>
    <t>67Q4D,"0.000"</t>
  </si>
  <si>
    <t>67Q3TC,"1"</t>
  </si>
  <si>
    <t>67Q4TC,"1"</t>
  </si>
  <si>
    <t>51S1O,"3I0L"</t>
  </si>
  <si>
    <t>51S1C,"U2"</t>
  </si>
  <si>
    <t>51S1TD,"6.00"</t>
  </si>
  <si>
    <t>51S1RS,"Y"</t>
  </si>
  <si>
    <t>51S1TC,"32GF"</t>
  </si>
  <si>
    <t>DIR3,"R"</t>
  </si>
  <si>
    <t>DIR4,"F"</t>
  </si>
  <si>
    <t>DIR5,"F"</t>
  </si>
  <si>
    <t>ORDER,"QV"</t>
  </si>
  <si>
    <t>E32IV,"1"</t>
  </si>
  <si>
    <t>EPO,"52"</t>
  </si>
  <si>
    <t>SPOD,"0.500"</t>
  </si>
  <si>
    <t>3POD,"1.500"</t>
  </si>
  <si>
    <t>Z3RBD,"6.000"</t>
  </si>
  <si>
    <t>EBLKD,"8.000"</t>
  </si>
  <si>
    <t>ETDPU,"1.000"</t>
  </si>
  <si>
    <t>EDURD,"6.000"</t>
  </si>
  <si>
    <t>EWFC,"N"</t>
  </si>
  <si>
    <t>PT1,"(RMB3A OR RMB3B OR PB8) AND NOT IN103 # REMOTE KEY OR LOCAL SIMULATION"</t>
  </si>
  <si>
    <t>RTPU1,"3.000"</t>
  </si>
  <si>
    <t>BFI3P1,"IN203 AND LCBF1"</t>
  </si>
  <si>
    <t>BFIA1,"NA"</t>
  </si>
  <si>
    <t>BFIB1,"NA"</t>
  </si>
  <si>
    <t>BFIC1,"NA"</t>
  </si>
  <si>
    <t>BFIDO1,"1.500"</t>
  </si>
  <si>
    <t>BFISP1,"2.000"</t>
  </si>
  <si>
    <t>ENCBF1,"Y"</t>
  </si>
  <si>
    <t>BFIN1,"50R1"</t>
  </si>
  <si>
    <t>ELCBF1,"Y"</t>
  </si>
  <si>
    <t>50LP1,"0.25"</t>
  </si>
  <si>
    <t>LCPU1,"0.000"</t>
  </si>
  <si>
    <t>BFILC1,"1"</t>
  </si>
  <si>
    <t>EFOBF1,"N"</t>
  </si>
  <si>
    <t>BFTR1,"FBF1 OR NBF1 # PHASE BKR FAILURE OR RESIDUAL BKR FAILURE"</t>
  </si>
  <si>
    <t>BFULTR1,"1 # ALWAYS UNLATCH"</t>
  </si>
  <si>
    <t>SYNCS1,"VBZ"</t>
  </si>
  <si>
    <t>KS1A,"0"</t>
  </si>
  <si>
    <t>25SFBK1,"0.100"</t>
  </si>
  <si>
    <t>ANG1BK1,"40.0"</t>
  </si>
  <si>
    <t>ANG2BK1,"40.0"</t>
  </si>
  <si>
    <t>TCLSBK1,"9.00"</t>
  </si>
  <si>
    <t>BSYNBK1,"52AA1"</t>
  </si>
  <si>
    <t>BKCFD,"60"</t>
  </si>
  <si>
    <t>ULCL1,"1"</t>
  </si>
  <si>
    <t>BK1MCL,"0 # NOT USED-EXTERNAL SWITCH"</t>
  </si>
  <si>
    <t>EVCK,"Y"</t>
  </si>
  <si>
    <t>DMTC,"15"</t>
  </si>
  <si>
    <t>PDEMP,"OFF"</t>
  </si>
  <si>
    <t>GDEMP,"OFF"</t>
  </si>
  <si>
    <t>QDEMP,"OFF"</t>
  </si>
  <si>
    <t>TR,"Z1T OR Z2T OR (M2P OR Z2G) AND Z4T OR M4PT OR Z4GT OR PCT04Q OR PCT14Q OR PCT16Q OR 51S1T AND NOT RB13"</t>
  </si>
  <si>
    <t>TRCOMM,"(M2P OR Z2G OR PCT01Q) AND NOT IN103"</t>
  </si>
  <si>
    <t>TRSOTF,"M2P OR Z2G OR 67P1T OR 50P3"</t>
  </si>
  <si>
    <t>DTA,"NA"</t>
  </si>
  <si>
    <t>DTB,"NA"</t>
  </si>
  <si>
    <t>DTC,"NA"</t>
  </si>
  <si>
    <t>BK1MTR,"0 # NOT USED-EXTERNAL SWITCH"</t>
  </si>
  <si>
    <t>ULTR,"1"</t>
  </si>
  <si>
    <t>ULMTR1,"1"</t>
  </si>
  <si>
    <t>TOPD,"2.000"</t>
  </si>
  <si>
    <t>TULO,"4"</t>
  </si>
  <si>
    <t>Z2GTSP,"N"</t>
  </si>
  <si>
    <t>67QGSP,"N"</t>
  </si>
  <si>
    <t>TDUR1D,"4.000"</t>
  </si>
  <si>
    <t>TDUR3D,"4.000"</t>
  </si>
  <si>
    <t>E3PT,"1"</t>
  </si>
  <si>
    <t>E3PT1,"1"</t>
  </si>
  <si>
    <t>ER,"R_TRIG M4P OR R_TRIG Z4G OR R_TRIG 51S1 OR R_TRIG M3P OR R_TRIG Z3G OR R_TRIG 50P2 OR R_TRIG PLT02 OR R_TRIG KEY AND NOT IN103 OR R_TRIG IN101 OR R_TRIG IN307 OR R_TRIG LOP OR R_TRIG RMB3A OR R_TRIG RMB3B"</t>
  </si>
  <si>
    <t>[A1]</t>
  </si>
  <si>
    <t>AUTO_1,"# AUTOMATION 1 IS NOT SHOWN ON THE LOGIC DRAWING"</t>
  </si>
  <si>
    <t>AUTO_2,"# FAULT LOCATOR AND VARIABLE ASSIGNMENTS"</t>
  </si>
  <si>
    <t>AUTO_3,"#SET MILEAGE ON ROW 006"</t>
  </si>
  <si>
    <t>AUTO_4,"#"</t>
  </si>
  <si>
    <t>AUTO_5,"# FLOC PROGRAM"</t>
  </si>
  <si>
    <t>AUTO_6,"ASV041 := FLOC &gt; 0.000000 AND FLOC &lt; 10.000000 # START FLOC"</t>
  </si>
  <si>
    <t>AUTO_7,"ASV042 := FLOC &lt;&gt; AMV241 # AMV241 = OLD FAULT DIST"</t>
  </si>
  <si>
    <t>AUTO_8,"ASV043 := ASV041 AND ASV042 # SET FLAG TO UPDATE"</t>
  </si>
  <si>
    <t>AUTO_9,"ASV045 := NOT ASV043"</t>
  </si>
  <si>
    <t>AUTO_10,"AMV241 := FLOC * ASV043 + AMV241 * ASV045 # UPDATE IF NEW"</t>
  </si>
  <si>
    <t>AUTO_11,"ALT03S := ASV043"</t>
  </si>
  <si>
    <t>AUTO_12,"ALT03R := AST11Q"</t>
  </si>
  <si>
    <t>AUTO_13,"AST11PT := 1800.000000 # TIME TO SEND FLOC"</t>
  </si>
  <si>
    <t>AUTO_14,"AST11IN := ALT03"</t>
  </si>
  <si>
    <t>AUTO_15,"AST11R := NOT ALT03 OR ASV043"</t>
  </si>
  <si>
    <t>AUTO_16,"ASV044 := ALT03"</t>
  </si>
  <si>
    <t>AUTO_17,"AMV242 := ASV044 * AMV241 # END FLOC"</t>
  </si>
  <si>
    <t>AUTO_18,"AMV243 := AST11ET"</t>
  </si>
  <si>
    <t>AUTO_19,"#"</t>
  </si>
  <si>
    <t>AUTO_20,"# 20 METER COMMAND VARIABLE ASSIGNMENTS #AMV001 USED FOR FAULT LOCATOR"</t>
  </si>
  <si>
    <t>AUTO_21,"AMV001 := AMV242 * 100.000000 # FLOC"</t>
  </si>
  <si>
    <t>AUTO_22,"# AMV002 USED FOR FREQUENCY"</t>
  </si>
  <si>
    <t>AUTO_23,"ASV046 := VAYM &gt; 50"</t>
  </si>
  <si>
    <t>AUTO_24,"AMV002 := (FREQ - 57.000000) * ASV046 * 1024.000000"</t>
  </si>
  <si>
    <t>AUTO_25,"AMV003 := DC1NE # AVERAGE NEGATIVE TO GROUND DC VOLTAGE"</t>
  </si>
  <si>
    <t>AUTO_27,"AMV005 := DC1RI # AC RIPPLE OF DC VOLTAGE"</t>
  </si>
  <si>
    <t>AUTO_28,"AMV244 := VAZM # VOLTAGE MAGNITUDE"</t>
  </si>
  <si>
    <t>AUTO_29,"AMV245 := VBZM # VOLTAGE MAGNITUDE"</t>
  </si>
  <si>
    <t>AUTO_30,"AMV246 := VCZM # VOLTAGE MAGNITUDE"</t>
  </si>
  <si>
    <t>AUTO_31,""</t>
  </si>
  <si>
    <t>AUTO_32,""</t>
  </si>
  <si>
    <t>AUTO_33,""</t>
  </si>
  <si>
    <t>AUTO_34,""</t>
  </si>
  <si>
    <t>AUTO_35,""</t>
  </si>
  <si>
    <t>AUTO_36,""</t>
  </si>
  <si>
    <t>AUTO_37,""</t>
  </si>
  <si>
    <t>AUTO_38,""</t>
  </si>
  <si>
    <t>AUTO_39,""</t>
  </si>
  <si>
    <t>AUTO_40,""</t>
  </si>
  <si>
    <t>"CTRW"&amp;","""&amp;'1) Data Entry'!CTR&amp;""""</t>
  </si>
  <si>
    <t>VNOMY,"115"</t>
  </si>
  <si>
    <t>VNOMZ,"192"</t>
  </si>
  <si>
    <t>Z1ANG,"66.70"</t>
  </si>
  <si>
    <t>Z0MAG,"12.47"</t>
  </si>
  <si>
    <t>Z0ANG,"70.50"</t>
  </si>
  <si>
    <t>E21XG,"N"</t>
  </si>
  <si>
    <t>Z1P,"40"</t>
  </si>
  <si>
    <t>Z2P,"7.40"</t>
  </si>
  <si>
    <t>Z3P,"3.51"</t>
  </si>
  <si>
    <t>Z4P,"24.69"</t>
  </si>
  <si>
    <t>Z5P,"8.28"</t>
  </si>
  <si>
    <t>Z1MG,"3.39"</t>
  </si>
  <si>
    <t>Z2MG,"7.40"</t>
  </si>
  <si>
    <t>Z3MG,"3.51"</t>
  </si>
  <si>
    <t>Z4MG,"24.69"</t>
  </si>
  <si>
    <t>Z5MG,"8.28"</t>
  </si>
  <si>
    <t>k0M1,"0.648"</t>
  </si>
  <si>
    <t>k0A1,"5.75"</t>
  </si>
  <si>
    <t>ZLF,"9.22"</t>
  </si>
  <si>
    <t>ZLR,"9.22"</t>
  </si>
  <si>
    <t>50P1P,"7.50"</t>
  </si>
  <si>
    <t>50P2P,"5.75"</t>
  </si>
  <si>
    <t>50P3P,"12.50"</t>
  </si>
  <si>
    <t>50P4P,"2.00"</t>
  </si>
  <si>
    <t>67P1TC,"VAFIM &lt; 46 OR VBFIM &lt; 46 OR VCFIM &lt; 46 #SOTF 50 SUPV 70% NOM"</t>
  </si>
  <si>
    <t>50G2P,"5.00"</t>
  </si>
  <si>
    <t>50G3P,"0.50"</t>
  </si>
  <si>
    <t>50G4P,"0.50"</t>
  </si>
  <si>
    <t>50Q4P,"0.25"</t>
  </si>
  <si>
    <t>51S1P,"1.00"</t>
  </si>
  <si>
    <t>50FP1,"5.75"</t>
  </si>
  <si>
    <t>BFPU1,"10.000"</t>
  </si>
  <si>
    <t>50RP1,"1.00"</t>
  </si>
  <si>
    <t>NPU1,"10.000"</t>
  </si>
  <si>
    <t>SYNCP,"VAZ"</t>
  </si>
  <si>
    <t>25VL,"83.0"</t>
  </si>
  <si>
    <t>25VH,"138.0"</t>
  </si>
  <si>
    <t>KS1M,"1.00"</t>
  </si>
  <si>
    <t>27LP,"28.0"</t>
  </si>
  <si>
    <t>59LP,"83.0"</t>
  </si>
  <si>
    <t>27BK1P,"28.0"</t>
  </si>
  <si>
    <t>59BK1P,"83.0"</t>
  </si>
  <si>
    <t>RELAYTYPE=SEL-311C</t>
  </si>
  <si>
    <t>FID=SEL-311C-RXXX-V0-Z005005-DXXXXXXXXXX</t>
  </si>
  <si>
    <t>BFID=SEL-311C-RXXX-V0-Z005005-DXXXXXXXXXX</t>
  </si>
  <si>
    <t>PARTNO=0311C01V2325421XX</t>
  </si>
  <si>
    <t>RID,"STATION1-STATION2 XXXKV"</t>
  </si>
  <si>
    <t>TID,"CM1703 OPT A (05-05-2010)"</t>
  </si>
  <si>
    <t>APP,"311C"</t>
  </si>
  <si>
    <t>CTRP,"240"</t>
  </si>
  <si>
    <t>PTRS,"600.00"</t>
  </si>
  <si>
    <t>LL,"46.91"</t>
  </si>
  <si>
    <t>E21P,"4"</t>
  </si>
  <si>
    <t>E21MG,"4"</t>
  </si>
  <si>
    <t>E50P,"3"</t>
  </si>
  <si>
    <t>E50Q,"3"</t>
  </si>
  <si>
    <t>E51P,"Y"</t>
  </si>
  <si>
    <t>E51G,"Y"</t>
  </si>
  <si>
    <t>E51Q,"N"</t>
  </si>
  <si>
    <t>EVOLT,"Y"</t>
  </si>
  <si>
    <t>E25,"N"</t>
  </si>
  <si>
    <t>E81,"N"</t>
  </si>
  <si>
    <t>EZ1EXT,"N"</t>
  </si>
  <si>
    <t>ECCVT,"Y"</t>
  </si>
  <si>
    <t>ESV,"16"</t>
  </si>
  <si>
    <t>ELAT,"16"</t>
  </si>
  <si>
    <t>EDP,"16"</t>
  </si>
  <si>
    <t>50L1,"1.00"</t>
  </si>
  <si>
    <t>50GZ1,"1.00"</t>
  </si>
  <si>
    <t>Z4PD,"50.00"</t>
  </si>
  <si>
    <t>Z4GD,"50.00"</t>
  </si>
  <si>
    <t>Z1D,"0.00"</t>
  </si>
  <si>
    <t>Z2D,"20.00"</t>
  </si>
  <si>
    <t>Z4D,"20.00"</t>
  </si>
  <si>
    <t>67P1D,"2.00"</t>
  </si>
  <si>
    <t>67P2D,"0.00"</t>
  </si>
  <si>
    <t>67P3D,"0.00"</t>
  </si>
  <si>
    <t>67G1D,"0.00"</t>
  </si>
  <si>
    <t>67G3D,"0.00"</t>
  </si>
  <si>
    <t>67G4D,"0.00"</t>
  </si>
  <si>
    <t>67Q1D,"0.00"</t>
  </si>
  <si>
    <t>67Q2D,"0.00"</t>
  </si>
  <si>
    <t>67Q3D,"0.00"</t>
  </si>
  <si>
    <t>51PC,"U2"</t>
  </si>
  <si>
    <t>51PTD,"10.00"</t>
  </si>
  <si>
    <t>51PRS,"N"</t>
  </si>
  <si>
    <t>51GC,"U2"</t>
  </si>
  <si>
    <t>51GTD,"5.70"</t>
  </si>
  <si>
    <t>51GRS,"Y"</t>
  </si>
  <si>
    <t>PLAF,"40.00"</t>
  </si>
  <si>
    <t>NLAF,"-40.00"</t>
  </si>
  <si>
    <t>PLAR,"140.00"</t>
  </si>
  <si>
    <t>NLAR,"220.00"</t>
  </si>
  <si>
    <t>59QP,"10.00"</t>
  </si>
  <si>
    <t>59V1P,"OFF"</t>
  </si>
  <si>
    <t>27SP,"OFF"</t>
  </si>
  <si>
    <t>59PP,"OFF"</t>
  </si>
  <si>
    <t>52AEND,"10.00"</t>
  </si>
  <si>
    <t>SOTFD,"30.00"</t>
  </si>
  <si>
    <t>Z3RBD,"6.00"</t>
  </si>
  <si>
    <t>EBLKD,"8.00"</t>
  </si>
  <si>
    <t>ETDPU,"1.00"</t>
  </si>
  <si>
    <t>EDURD,"6.00"</t>
  </si>
  <si>
    <t>TDURD,"4.00"</t>
  </si>
  <si>
    <t>CFD,"60.00"</t>
  </si>
  <si>
    <t>3POD,"1.50"</t>
  </si>
  <si>
    <t>OPO,"52"</t>
  </si>
  <si>
    <t>50LP,"0.25"</t>
  </si>
  <si>
    <t>SV1PU,"0.00"</t>
  </si>
  <si>
    <t>SV1DO,"1.00"</t>
  </si>
  <si>
    <t>SV2PU,"70.00"</t>
  </si>
  <si>
    <t>SV2DO,"1.00"</t>
  </si>
  <si>
    <t>SV3PU,"0.00"</t>
  </si>
  <si>
    <t>SV3DO,"30.00"</t>
  </si>
  <si>
    <t>SV4PU,"4.00"</t>
  </si>
  <si>
    <t>SV4DO,"0.00"</t>
  </si>
  <si>
    <t>SV5PU,"1.00"</t>
  </si>
  <si>
    <t>SV5DO,"600.00"</t>
  </si>
  <si>
    <t>SV6PU,"0.00"</t>
  </si>
  <si>
    <t>SV6DO,"2.00"</t>
  </si>
  <si>
    <t>SV7PU,"40.00"</t>
  </si>
  <si>
    <t>SV7DO,"0.00"</t>
  </si>
  <si>
    <t>SV8PU,"500.00"</t>
  </si>
  <si>
    <t>SV8DO,"0.00"</t>
  </si>
  <si>
    <t>SV9PU,"2.00"</t>
  </si>
  <si>
    <t>SV9DO,"0.00"</t>
  </si>
  <si>
    <t>SV10PU,"2.00"</t>
  </si>
  <si>
    <t>SV10DO,"0.00"</t>
  </si>
  <si>
    <t>SV11PU,"4.00"</t>
  </si>
  <si>
    <t>SV11DO,"0.00"</t>
  </si>
  <si>
    <t>SV12PU,"300.00"</t>
  </si>
  <si>
    <t>SV12DO,"0.00"</t>
  </si>
  <si>
    <t>SV13PU,"3600.00"</t>
  </si>
  <si>
    <t>SV13DO,"3600.00"</t>
  </si>
  <si>
    <t>SV14PU,"0.00"</t>
  </si>
  <si>
    <t>SV14DO,"0.00"</t>
  </si>
  <si>
    <t>SV15PU,"0.00"</t>
  </si>
  <si>
    <t>SV15DO,"90.00"</t>
  </si>
  <si>
    <t>SV16PU,"0.50"</t>
  </si>
  <si>
    <t>SV16DO,"0.00"</t>
  </si>
  <si>
    <t>USER NAME</t>
  </si>
  <si>
    <t>WORKSHEET</t>
  </si>
  <si>
    <t>MODIFIED CELL</t>
  </si>
  <si>
    <t>OLD VALUE</t>
  </si>
  <si>
    <t>MODIFIED VALUE</t>
  </si>
  <si>
    <t>TIME</t>
  </si>
  <si>
    <t>mquinte</t>
  </si>
  <si>
    <t>4) Fault Analysis</t>
  </si>
  <si>
    <t>$B$287</t>
  </si>
  <si>
    <t>=_Remote_Line_CTR*5</t>
  </si>
  <si>
    <t>Apply a bus fault on the low side of tapped tranformer. Record the Maximum total fault current on the primary side or HV side of the power transformer, this will be the total fault current contribution from Relay location A and B.</t>
  </si>
  <si>
    <t>$K$174</t>
  </si>
  <si>
    <t>=MAX(MIN(0.8*G27,1.2*(MAX(E6,'1) Data Entry'!E280)+E132))/(MAX(K170,CTR,_CTRX)/5),1.2*G30/(MAX(K170,CTR,_CTRX)/5),1)</t>
  </si>
  <si>
    <t>=MAX(MIN(0.8*G27,1.2*(MAX(E6,'1) Data Entry'!E280)+E132))/(MAX(K170,CTR,_CTRX)/5),E166*G30/(MAX(K170,CTR,_CTRX)/5),1)</t>
  </si>
  <si>
    <t>$V$175</t>
  </si>
  <si>
    <t>=MAX(MIN(0.8*G27,1.2*(MAX(E6,'1) Data Entry'!E280)+E132))/(MAX(K171,CTR,_CTRX)/5),E167*G30/(MAX(K171,CTR,_CTRX)/5),1)</t>
  </si>
  <si>
    <t>=E167*G30</t>
  </si>
  <si>
    <t>=E167*3</t>
  </si>
  <si>
    <t/>
  </si>
  <si>
    <t>$K$190</t>
  </si>
  <si>
    <t>=MAX(MIN(0.8*G28*3,1.2*MAX(E6,'1) Data Entry'!E280))/(MAX(K173,CTR,_CTRX)/5),1.2*3*G31/(MAX(K173,CTR,_CTRX)/5),0.5)</t>
  </si>
  <si>
    <t>=MAX(MIN(0.8*G28*3,1.2*MAX(E6,'1) Data Entry'!E280))/(MAX(K173,CTR,_CTRX)/5),E186*3*G31/(MAX(K173,CTR,_CTRX)/5),0.5)</t>
  </si>
  <si>
    <t>Unique Identifier</t>
  </si>
  <si>
    <t>CAPE Output Section</t>
  </si>
  <si>
    <t>CAPE Output Identifier</t>
  </si>
  <si>
    <t>Calculation Sheets Reference (Optional)</t>
  </si>
  <si>
    <t>Link to Raw Results</t>
  </si>
  <si>
    <t>Formula 1</t>
  </si>
  <si>
    <t>Value 1</t>
  </si>
  <si>
    <t>Formula 2</t>
  </si>
  <si>
    <t>Value 2</t>
  </si>
  <si>
    <t>Formula 3</t>
  </si>
  <si>
    <t>Value 3</t>
  </si>
  <si>
    <t>Formula 4</t>
  </si>
  <si>
    <t>Value 4</t>
  </si>
  <si>
    <t>Formula 5</t>
  </si>
  <si>
    <t>Value 5</t>
  </si>
  <si>
    <t>Formula 6</t>
  </si>
  <si>
    <t>Value 6</t>
  </si>
  <si>
    <t>Formula 7</t>
  </si>
  <si>
    <t>Value 7</t>
  </si>
  <si>
    <t>Formula 8</t>
  </si>
  <si>
    <t>Value 8</t>
  </si>
  <si>
    <t>Formula 9</t>
  </si>
  <si>
    <t>Value 9</t>
  </si>
  <si>
    <t>Formula 10</t>
  </si>
  <si>
    <t>Value 10</t>
  </si>
  <si>
    <t>Warnings</t>
  </si>
  <si>
    <t>NETWORK INFORMATION</t>
  </si>
  <si>
    <t>Table: Line Information, Row 1</t>
  </si>
  <si>
    <t>Data Entry - Relay Location</t>
  </si>
  <si>
    <t>&lt;From Bus Substation&gt;</t>
  </si>
  <si>
    <t>Data Entry - Line Name</t>
  </si>
  <si>
    <t>&lt;Line Name&gt;</t>
  </si>
  <si>
    <t>Table: Remote Buses, Row 1</t>
  </si>
  <si>
    <t>Data Entry - Remote Bus Name</t>
  </si>
  <si>
    <t>&lt;Bus Name&gt;</t>
  </si>
  <si>
    <t>Data Entry - Line Voltage</t>
  </si>
  <si>
    <t>&lt;Line Voltage (kV)&gt;</t>
  </si>
  <si>
    <t>Count of Second Lines:</t>
  </si>
  <si>
    <t>Data Entry - Count Second Lines</t>
  </si>
  <si>
    <t>&lt;Value 1&gt;</t>
  </si>
  <si>
    <t>Count of Taps:</t>
  </si>
  <si>
    <t>Data Entry - Count Taps</t>
  </si>
  <si>
    <t>Count of Autotransformers:</t>
  </si>
  <si>
    <t>Data Entry - Count Auto</t>
  </si>
  <si>
    <t>Count of Power Transformers:</t>
  </si>
  <si>
    <t>Data Entry - Count Dist</t>
  </si>
  <si>
    <t>Table: Path to Remote 1, Row 1</t>
  </si>
  <si>
    <t>Aspen Impedances - First Line First Segment</t>
  </si>
  <si>
    <t>&lt;R1 (PU)&gt;</t>
  </si>
  <si>
    <t>&lt;X1 (PU)&gt;</t>
  </si>
  <si>
    <t>&lt;R0 (PU)&gt;</t>
  </si>
  <si>
    <t>&lt;X0 (PU)&gt;</t>
  </si>
  <si>
    <t>&lt;Section Length (mi)&gt;</t>
  </si>
  <si>
    <t>Table: Path to Remote 1, Row 2</t>
  </si>
  <si>
    <t>Aspen Impedances - First Line Second Segment</t>
  </si>
  <si>
    <t>Table: Path to Remote 1, Row 3</t>
  </si>
  <si>
    <t>Aspen Impedances - First Line Third Segment</t>
  </si>
  <si>
    <t>Table: Path to Remote 1, Row 4</t>
  </si>
  <si>
    <t>Aspen Impedances - First Line Fourth Segment</t>
  </si>
  <si>
    <t>Table: Path to Remote 1, Row 5</t>
  </si>
  <si>
    <t>Aspen Impedances - First Line Fifth Segment</t>
  </si>
  <si>
    <t>Table: Total Pos. Seq. Impedance, Row 1</t>
  </si>
  <si>
    <t>Line Impedance</t>
  </si>
  <si>
    <t>&lt;Magnitude (PU)&gt;</t>
  </si>
  <si>
    <t>&lt;Angle (Degrees)&gt;</t>
  </si>
  <si>
    <t>Table: Remote Second Line 1 Path, Row 1</t>
  </si>
  <si>
    <t>Aspen Impedances - Second Line 1 First Segment</t>
  </si>
  <si>
    <t>Table: Remote Second Line 1 Path, Row 2</t>
  </si>
  <si>
    <t>Aspen Impedances - Second Line 1 Second Segment</t>
  </si>
  <si>
    <t>Table: Remote Second Line 1 Path, Row 3</t>
  </si>
  <si>
    <t>Aspen Impedances - Second Line 1 Third Segment</t>
  </si>
  <si>
    <t>Table: Remote Second Line 1 Path, Row 4</t>
  </si>
  <si>
    <t>Aspen Impedances - Second Line 1 Fourth Segment</t>
  </si>
  <si>
    <t>Table: Remote Second Line 1 Path, Row 5</t>
  </si>
  <si>
    <t>Aspen Impedances - Second Line 1 Fifth Segment</t>
  </si>
  <si>
    <t>Table: Remote Second Lines, Row 1</t>
  </si>
  <si>
    <t>Aspen Impedances - Second Line 1 Remote Bus</t>
  </si>
  <si>
    <t>&lt;Remote Bus Name&gt;</t>
  </si>
  <si>
    <t>Table: Remote Second Line 2 Path, Row 1</t>
  </si>
  <si>
    <t>Aspen Impedances - Second Line 2 First Segment</t>
  </si>
  <si>
    <t>Table: Remote Second Line 2 Path, Row 2</t>
  </si>
  <si>
    <t>Aspen Impedances - Second Line 2 Second Segment</t>
  </si>
  <si>
    <t>Table: Remote Second Line 2 Path, Row 3</t>
  </si>
  <si>
    <t>Aspen Impedances - Second Line 2 Third Segment</t>
  </si>
  <si>
    <t>Table: Remote Second Line 2 Path, Row 4</t>
  </si>
  <si>
    <t>Aspen Impedances - Second Line 2 Fourth Segment</t>
  </si>
  <si>
    <t>Table: Remote Second Line 2 Path, Row 5</t>
  </si>
  <si>
    <t>Aspen Impedances - Second Line 2 Fifth Segment</t>
  </si>
  <si>
    <t>Table: Remote Second Lines, Row 2</t>
  </si>
  <si>
    <t>Aspen Impedances - Second Line 2 Remote Bus</t>
  </si>
  <si>
    <t>Table: Remote Second Line 3 Path, Row 1</t>
  </si>
  <si>
    <t>Aspen Impedances - Second Line 3 First Segment</t>
  </si>
  <si>
    <t>Table: Remote Second Line 3 Path, Row 2</t>
  </si>
  <si>
    <t>Aspen Impedances - Second Line 3 Second Segment</t>
  </si>
  <si>
    <t>Table: Remote Second Line 3 Path, Row 3</t>
  </si>
  <si>
    <t>Aspen Impedances - Second Line 3 Third Segment</t>
  </si>
  <si>
    <t>Table: Remote Second Line 3 Path, Row 4</t>
  </si>
  <si>
    <t>Aspen Impedances - Second Line 3 Fourth Segment</t>
  </si>
  <si>
    <t>Table: Remote Second Line 3 Path, Row 5</t>
  </si>
  <si>
    <t>Aspen Impedances - Second Line 3 Fifth Segment</t>
  </si>
  <si>
    <t>Table: Remote Second Lines, Row 3</t>
  </si>
  <si>
    <t>Aspen Impedances - Second Line 3 Remote Bus</t>
  </si>
  <si>
    <t>Table: Remote Second Line 4 Path, Row 1</t>
  </si>
  <si>
    <t>Aspen Impedances - Second Line 4 First Segment</t>
  </si>
  <si>
    <t>Table: Remote Second Line 4 Path, Row 2</t>
  </si>
  <si>
    <t>Aspen Impedances - Second Line 4 Second Segment</t>
  </si>
  <si>
    <t>Table: Remote Second Line 4 Path, Row 3</t>
  </si>
  <si>
    <t>Aspen Impedances - Second Line 4 Third Segment</t>
  </si>
  <si>
    <t>Table: Remote Second Line 4 Path, Row 4</t>
  </si>
  <si>
    <t>Aspen Impedances - Second Line 4 Fourth Segment</t>
  </si>
  <si>
    <t>Table: Remote Second Line 4 Path, Row 5</t>
  </si>
  <si>
    <t>Aspen Impedances - Second Line 4 Fifth Segment</t>
  </si>
  <si>
    <t>Table: Remote Second Lines, Row 4</t>
  </si>
  <si>
    <t>Aspen Impedances - Second Line 4 Remote Bus</t>
  </si>
  <si>
    <t>Table: Remote Second Line 5 Path, Row 1</t>
  </si>
  <si>
    <t>Aspen Impedances - Second Line 5 First Segment</t>
  </si>
  <si>
    <t>Table: Remote Second Line 5 Path, Row 2</t>
  </si>
  <si>
    <t>Aspen Impedances - Second Line 5 Second Segment</t>
  </si>
  <si>
    <t>Table: Remote Second Line 5 Path, Row 3</t>
  </si>
  <si>
    <t>Aspen Impedances - Second Line 5 Third Segment</t>
  </si>
  <si>
    <t>Table: Remote Second Line 5 Path, Row 4</t>
  </si>
  <si>
    <t>Aspen Impedances - Second Line 5 Fourth Segment</t>
  </si>
  <si>
    <t>Table: Remote Second Line 5 Path, Row 5</t>
  </si>
  <si>
    <t>Aspen Impedances - Second Line 5 Fifth Segment</t>
  </si>
  <si>
    <t>Table: Remote Second Lines, Row 5</t>
  </si>
  <si>
    <t>Aspen Impedances - Second Line 5 Remote Bus</t>
  </si>
  <si>
    <t>Table: Remote Second Line 6 Path, Row 1</t>
  </si>
  <si>
    <t>Aspen Impedances - Second Line 6 First Segment</t>
  </si>
  <si>
    <t>Table: Remote Second Line 6 Path, Row 2</t>
  </si>
  <si>
    <t>Aspen Impedances - Second Line 6 Second Segment</t>
  </si>
  <si>
    <t>Table: Remote Second Line 6 Path, Row 3</t>
  </si>
  <si>
    <t>Aspen Impedances - Second Line 6 Third Segment</t>
  </si>
  <si>
    <t>Table: Remote Second Line 6 Path, Row 4</t>
  </si>
  <si>
    <t>Aspen Impedances - Second Line 6 Fourth Segment</t>
  </si>
  <si>
    <t>Table: Remote Second Line 6 Path, Row 5</t>
  </si>
  <si>
    <t>Aspen Impedances - Second Line 6 Fifth Segment</t>
  </si>
  <si>
    <t>Table: Remote Second Lines, Row 6</t>
  </si>
  <si>
    <t>Aspen Impedances - Second Line 6 Remote Bus</t>
  </si>
  <si>
    <t>Table: Remote Second Line 7 Path, Row 1</t>
  </si>
  <si>
    <t>Aspen Impedances - Second Line 7 First Segment</t>
  </si>
  <si>
    <t>Table: Remote Second Line 7 Path, Row 2</t>
  </si>
  <si>
    <t>Aspen Impedances - Second Line 7 Second Segment</t>
  </si>
  <si>
    <t>Table: Remote Second Line 7 Path, Row 3</t>
  </si>
  <si>
    <t>Aspen Impedances - Second Line 7 Third Segment</t>
  </si>
  <si>
    <t>Table: Remote Second Line 7 Path, Row 4</t>
  </si>
  <si>
    <t>Aspen Impedances - Second Line 7 Fourth Segment</t>
  </si>
  <si>
    <t>Table: Remote Second Line 7 Path, Row 5</t>
  </si>
  <si>
    <t>Aspen Impedances - Second Line 7 Fifth Segment</t>
  </si>
  <si>
    <t>Table: Remote Second Lines, Row 7</t>
  </si>
  <si>
    <t>Aspen Impedances - Second Line 7 Remote Bus</t>
  </si>
  <si>
    <t>Table: Remote Second Line 8 Path, Row 1</t>
  </si>
  <si>
    <t>Aspen Impedances - Second Line 8 First Segment</t>
  </si>
  <si>
    <t>Table: Remote Second Line 8 Path, Row 2</t>
  </si>
  <si>
    <t>Aspen Impedances - Second Line 8 Second Segment</t>
  </si>
  <si>
    <t>Table: Remote Second Line 8 Path, Row 3</t>
  </si>
  <si>
    <t>Aspen Impedances - Second Line 8 Third Segment</t>
  </si>
  <si>
    <t>Table: Remote Second Line 8 Path, Row 4</t>
  </si>
  <si>
    <t>Aspen Impedances - Second Line 8 Fourth Segment</t>
  </si>
  <si>
    <t>Table: Remote Second Line 8 Path, Row 5</t>
  </si>
  <si>
    <t>Aspen Impedances - Second Line 8 Fifth Segment</t>
  </si>
  <si>
    <t>Table: Remote Second Lines, Row 8</t>
  </si>
  <si>
    <t>Aspen Impedances - Second Line 8 Remote Bus</t>
  </si>
  <si>
    <t>Table: Path of Tap 1, Row 1</t>
  </si>
  <si>
    <t>Aspen Impedances - Tap Line 1 First Segment</t>
  </si>
  <si>
    <t>Table: Path of Tap 1, Row 2</t>
  </si>
  <si>
    <t>Aspen Impedances - Tap Line 1 Second Segment</t>
  </si>
  <si>
    <t>Table: Path of Tap 1, Row 3</t>
  </si>
  <si>
    <t>Aspen Impedances - Tap Line 1 Third Segment</t>
  </si>
  <si>
    <t>Table: Path of Tap 1, Row 4</t>
  </si>
  <si>
    <t>Aspen Impedances - Tap Line 1 Fourth Segment</t>
  </si>
  <si>
    <t>Table: Path of Tap 1, Row 5</t>
  </si>
  <si>
    <t>Aspen Impedances - Tap Line 1 Fifth Segment</t>
  </si>
  <si>
    <t>Table: Tap Buses, Row 1</t>
  </si>
  <si>
    <t>Aspen Impedances - Tap Line 1 End Bus</t>
  </si>
  <si>
    <t>&lt;Connecting Bus Name&gt;</t>
  </si>
  <si>
    <t>&lt;Tap End Bus Name&gt;</t>
  </si>
  <si>
    <t>Table: Path of Tap 2, Row 1</t>
  </si>
  <si>
    <t>Aspen Impedances - Tap Line 2 First Segment</t>
  </si>
  <si>
    <t>Table: Path of Tap 2, Row 2</t>
  </si>
  <si>
    <t>Aspen Impedances - Tap Line 2 Second Segment</t>
  </si>
  <si>
    <t>Table: Path of Tap 2, Row 3</t>
  </si>
  <si>
    <t>Aspen Impedances - Tap Line 2 Third Segment</t>
  </si>
  <si>
    <t>Table: Path of Tap 2, Row 4</t>
  </si>
  <si>
    <t>Aspen Impedances - Tap Line 2 Fourth Segment</t>
  </si>
  <si>
    <t>Table: Path of Tap 2, Row 5</t>
  </si>
  <si>
    <t>Aspen Impedances - Tap Line 2 Fifth Segment</t>
  </si>
  <si>
    <t>Table: Tap Buses, Row 2</t>
  </si>
  <si>
    <t>Aspen Impedances - Tap Line 2 End Bus</t>
  </si>
  <si>
    <t>Table: Path of Tap 3, Row 1</t>
  </si>
  <si>
    <t>Aspen Impedances - Tap Line 3 First Segment</t>
  </si>
  <si>
    <t>Table: Path of Tap 3, Row 2</t>
  </si>
  <si>
    <t>Aspen Impedances - Tap Line 3 Second Segment</t>
  </si>
  <si>
    <t>Table: Path of Tap 3, Row 3</t>
  </si>
  <si>
    <t>Aspen Impedances - Tap Line 3 Third Segment</t>
  </si>
  <si>
    <t>Table: Path of Tap 3, Row 4</t>
  </si>
  <si>
    <t>Aspen Impedances - Tap Line 3 Fourth Segment</t>
  </si>
  <si>
    <t>Table: Path of Tap 3, Row 5</t>
  </si>
  <si>
    <t>Aspen Impedances - Tap Line 3 Fifth Segment</t>
  </si>
  <si>
    <t>Table: Tap Buses, Row 3</t>
  </si>
  <si>
    <t>Aspen Impedances - Tap Line 3 End Bus</t>
  </si>
  <si>
    <t>Table: Path of Tap 4, Row 1</t>
  </si>
  <si>
    <t>Aspen Impedances - Tap Line 4 First Segment</t>
  </si>
  <si>
    <t>Table: Path of Tap 4, Row 2</t>
  </si>
  <si>
    <t>Aspen Impedances - Tap Line 4 Second Segment</t>
  </si>
  <si>
    <t>Table: Path of Tap 4, Row 3</t>
  </si>
  <si>
    <t>Aspen Impedances - Tap Line 4 Third Segment</t>
  </si>
  <si>
    <t>Table: Path of Tap 4, Row 4</t>
  </si>
  <si>
    <t>Aspen Impedances - Tap Line 4 Fourth Segment</t>
  </si>
  <si>
    <t>Table: Path of Tap 4, Row 5</t>
  </si>
  <si>
    <t>Aspen Impedances - Tap Line 4 Fifth Segment</t>
  </si>
  <si>
    <t>Table: Tap Buses, Row 4</t>
  </si>
  <si>
    <t>Aspen Impedances - Tap Line 4 End Bus</t>
  </si>
  <si>
    <t>Table: Path of Tap 5, Row 1</t>
  </si>
  <si>
    <t>Aspen Impedances - Tap Line 5 First Segment</t>
  </si>
  <si>
    <t>Table: Path of Tap 5, Row 2</t>
  </si>
  <si>
    <t>Aspen Impedances - Tap Line 5 Second Segment</t>
  </si>
  <si>
    <t>Table: Path of Tap 5, Row 3</t>
  </si>
  <si>
    <t>Aspen Impedances - Tap Line 5 Third Segment</t>
  </si>
  <si>
    <t>Table: Path of Tap 5, Row 4</t>
  </si>
  <si>
    <t>Aspen Impedances - Tap Line 5 Fourth Segment</t>
  </si>
  <si>
    <t>Table: Path of Tap 5, Row 5</t>
  </si>
  <si>
    <t>Aspen Impedances - Tap Line 5 Fifth Segment</t>
  </si>
  <si>
    <t>Table: Tap Buses, Row 5</t>
  </si>
  <si>
    <t>Aspen Impedances - Tap Line 5 End Bus</t>
  </si>
  <si>
    <t>Table: Path of Tap 6, Row 1</t>
  </si>
  <si>
    <t>Aspen Impedances - Tap Line 6 First Segment</t>
  </si>
  <si>
    <t>Table: Path of Tap 6, Row 2</t>
  </si>
  <si>
    <t>Aspen Impedances - Tap Line 6 Second Segment</t>
  </si>
  <si>
    <t>Table: Path of Tap 6, Row 3</t>
  </si>
  <si>
    <t>Aspen Impedances - Tap Line 6 Third Segment</t>
  </si>
  <si>
    <t>Table: Path of Tap 6, Row 4</t>
  </si>
  <si>
    <t>Aspen Impedances - Tap Line 6 Fourth Segment</t>
  </si>
  <si>
    <t>Table: Path of Tap 6, Row 5</t>
  </si>
  <si>
    <t>Aspen Impedances - Tap Line 6 Fifth Segment</t>
  </si>
  <si>
    <t>Table: Tap Buses, Row 6</t>
  </si>
  <si>
    <t>Aspen Impedances - Tap Line 6 End Bus</t>
  </si>
  <si>
    <t>Table: Path of Tap 7, Row 1</t>
  </si>
  <si>
    <t>Aspen Impedances - Tap Line 7 First Segment</t>
  </si>
  <si>
    <t>Table: Path of Tap 7, Row 2</t>
  </si>
  <si>
    <t>Aspen Impedances - Tap Line 7 Second Segment</t>
  </si>
  <si>
    <t>Table: Path of Tap 7, Row 3</t>
  </si>
  <si>
    <t>Aspen Impedances - Tap Line 7 Third Segment</t>
  </si>
  <si>
    <t>Table: Path of Tap 7, Row 4</t>
  </si>
  <si>
    <t>Aspen Impedances - Tap Line 7 Fourth Segment</t>
  </si>
  <si>
    <t>Table: Path of Tap 7, Row 5</t>
  </si>
  <si>
    <t>Aspen Impedances - Tap Line 7 Fifth Segment</t>
  </si>
  <si>
    <t>Table: Tap Buses, Row 7</t>
  </si>
  <si>
    <t>Aspen Impedances - Tap Line 7 End Bus</t>
  </si>
  <si>
    <t>Table: Path of Tap 8, Row 1</t>
  </si>
  <si>
    <t>Aspen Impedances - Tap Line 8 First Segment</t>
  </si>
  <si>
    <t>Table: Path of Tap 8, Row 2</t>
  </si>
  <si>
    <t>Aspen Impedances - Tap Line 8 Second Segment</t>
  </si>
  <si>
    <t>Table: Path of Tap 8, Row 3</t>
  </si>
  <si>
    <t>Aspen Impedances - Tap Line 8 Third Segment</t>
  </si>
  <si>
    <t>Table: Path of Tap 8, Row 4</t>
  </si>
  <si>
    <t>Aspen Impedances - Tap Line 8 Fourth Segment</t>
  </si>
  <si>
    <t>Table: Path of Tap 8, Row 5</t>
  </si>
  <si>
    <t>Aspen Impedances - Tap Line 8 Fifth Segment</t>
  </si>
  <si>
    <t>Table: Tap Buses, Row 8</t>
  </si>
  <si>
    <t>Aspen Impedances - Tap Line 8 End Bus</t>
  </si>
  <si>
    <t>Table: Path to Tap 1, Row 1</t>
  </si>
  <si>
    <t>Aspen Impedances - Path to Tap 1 First Segment</t>
  </si>
  <si>
    <t>Table: Path to Tap 1, Row 2</t>
  </si>
  <si>
    <t>Aspen Impedances - Path to Tap 1 Second Segment</t>
  </si>
  <si>
    <t>Table: Path to Tap 1, Row 3</t>
  </si>
  <si>
    <t>Aspen Impedances - Path to Tap 1 Third Segment</t>
  </si>
  <si>
    <t>Table: Path to Tap 1, Row 4</t>
  </si>
  <si>
    <t>Aspen Impedances - Path to Tap 1 Fourth Segment</t>
  </si>
  <si>
    <t>Table: Path to Tap 1, Row 5</t>
  </si>
  <si>
    <t>Aspen Impedances - Path to Tap 1 Fifth Segment</t>
  </si>
  <si>
    <t>Table: Path to Tap 2, Row 1</t>
  </si>
  <si>
    <t>Aspen Impedances - Path to Tap 2 First Segment</t>
  </si>
  <si>
    <t>Table: Path to Tap 2, Row 2</t>
  </si>
  <si>
    <t>Aspen Impedances - Path to Tap 2 Second Segment</t>
  </si>
  <si>
    <t>Table: Path to Tap 2, Row 3</t>
  </si>
  <si>
    <t>Aspen Impedances - Path to Tap 2 Third Segment</t>
  </si>
  <si>
    <t>Table: Path to Tap 2, Row 4</t>
  </si>
  <si>
    <t>Aspen Impedances - Path to Tap 2 Fourth Segment</t>
  </si>
  <si>
    <t>Table: Path to Tap 2, Row 5</t>
  </si>
  <si>
    <t>Aspen Impedances - Path to Tap 2 Fifth Segment</t>
  </si>
  <si>
    <t>Table: Path to Tap 3, Row 1</t>
  </si>
  <si>
    <t>Aspen Impedances - Path to Tap 3 First Segment</t>
  </si>
  <si>
    <t>Table: Path to Tap 3, Row 2</t>
  </si>
  <si>
    <t>Aspen Impedances - Path to Tap 3 Second Segment</t>
  </si>
  <si>
    <t>Table: Path to Tap 3, Row 3</t>
  </si>
  <si>
    <t>Aspen Impedances - Path to Tap 3 Third Segment</t>
  </si>
  <si>
    <t>Table: Path to Tap 3, Row 4</t>
  </si>
  <si>
    <t>Aspen Impedances - Path to Tap 3 Fourth Segment</t>
  </si>
  <si>
    <t>Table: Path to Tap 3, Row 5</t>
  </si>
  <si>
    <t>Aspen Impedances - Path to Tap 3 Fifth Segment</t>
  </si>
  <si>
    <t>Table: Path to Tap 4, Row 1</t>
  </si>
  <si>
    <t>Aspen Impedances - Path to Tap 4 First Segment</t>
  </si>
  <si>
    <t>Table: Path to Tap 4, Row 2</t>
  </si>
  <si>
    <t>Aspen Impedances - Path to Tap 4 Second Segment</t>
  </si>
  <si>
    <t>Table: Path to Tap 4, Row 3</t>
  </si>
  <si>
    <t>Aspen Impedances - Path to Tap 4 Third Segment</t>
  </si>
  <si>
    <t>Table: Path to Tap 4, Row 4</t>
  </si>
  <si>
    <t>Aspen Impedances - Path to Tap 4 Fourth Segment</t>
  </si>
  <si>
    <t>Table: Path to Tap 4, Row 5</t>
  </si>
  <si>
    <t>Aspen Impedances - Path to Tap 4 Fifth Segment</t>
  </si>
  <si>
    <t>Table: Path to Tap 5, Row 1</t>
  </si>
  <si>
    <t>Aspen Impedances - Path to Tap 5 First Segment</t>
  </si>
  <si>
    <t>Table: Path to Tap 5, Row 2</t>
  </si>
  <si>
    <t>Aspen Impedances - Path to Tap 5 Second Segment</t>
  </si>
  <si>
    <t>Table: Path to Tap 5, Row 3</t>
  </si>
  <si>
    <t>Aspen Impedances - Path to Tap 5 Third Segment</t>
  </si>
  <si>
    <t>Table: Path to Tap 5, Row 4</t>
  </si>
  <si>
    <t>Aspen Impedances - Path to Tap 5 Fourth Segment</t>
  </si>
  <si>
    <t>Table: Path to Tap 5, Row 5</t>
  </si>
  <si>
    <t>Aspen Impedances - Path to Tap 5 Fifth Segment</t>
  </si>
  <si>
    <t>Table: Path to Tap 6, Row 1</t>
  </si>
  <si>
    <t>Aspen Impedances - Path to Tap 6 First Segment</t>
  </si>
  <si>
    <t>Table: Path to Tap 6, Row 2</t>
  </si>
  <si>
    <t>Aspen Impedances - Path to Tap 6 Second Segment</t>
  </si>
  <si>
    <t>Table: Path to Tap 6, Row 3</t>
  </si>
  <si>
    <t>Aspen Impedances - Path to Tap 6 Third Segment</t>
  </si>
  <si>
    <t>Table: Path to Tap 6, Row 4</t>
  </si>
  <si>
    <t>Aspen Impedances - Path to Tap 6 Fourth Segment</t>
  </si>
  <si>
    <t>Table: Path to Tap 6, Row 5</t>
  </si>
  <si>
    <t>Aspen Impedances - Path to Tap 6 Fifth Segment</t>
  </si>
  <si>
    <t>Table: Path to Tap 7, Row 1</t>
  </si>
  <si>
    <t>Aspen Impedances - Path to Tap 7 First Segment</t>
  </si>
  <si>
    <t>Table: Path to Tap 7, Row 2</t>
  </si>
  <si>
    <t>Aspen Impedances - Path to Tap 7 Second Segment</t>
  </si>
  <si>
    <t>Table: Path to Tap 7, Row 3</t>
  </si>
  <si>
    <t>Aspen Impedances - Path to Tap 7 Third Segment</t>
  </si>
  <si>
    <t>Table: Path to Tap 7, Row 4</t>
  </si>
  <si>
    <t>Aspen Impedances - Path to Tap 7 Fourth Segment</t>
  </si>
  <si>
    <t>Table: Path to Tap 7, Row 5</t>
  </si>
  <si>
    <t>Aspen Impedances - Path to Tap 7 Fifth Segment</t>
  </si>
  <si>
    <t>Table: Path to Tap 8, Row 1</t>
  </si>
  <si>
    <t>Aspen Impedances - Path to Tap 8 First Segment</t>
  </si>
  <si>
    <t>Table: Path to Tap 8, Row 2</t>
  </si>
  <si>
    <t>Aspen Impedances - Path to Tap 8 Second Segment</t>
  </si>
  <si>
    <t>Table: Path to Tap 8, Row 3</t>
  </si>
  <si>
    <t>Aspen Impedances - Path to Tap 8 Third Segment</t>
  </si>
  <si>
    <t>Table: Path to Tap 8, Row 4</t>
  </si>
  <si>
    <t>Aspen Impedances - Path to Tap 8 Fourth Segment</t>
  </si>
  <si>
    <t>Table: Path to Tap 8, Row 5</t>
  </si>
  <si>
    <t>Aspen Impedances - Path to Tap 8 Fifth Segment</t>
  </si>
  <si>
    <t>Table: Remote Autotransformer 1, Row 1</t>
  </si>
  <si>
    <t>Data Entry - Autotransformer 1 Resistance</t>
  </si>
  <si>
    <t>R = &lt;R1 (PU)&gt;</t>
  </si>
  <si>
    <t>Data Entry - Autotransformer 1 Reactance</t>
  </si>
  <si>
    <t>X = &lt;X1 (PU)&gt;</t>
  </si>
  <si>
    <t>Table: Remote Autotransformer 2, Row 1</t>
  </si>
  <si>
    <t>Data Entry - Autotransformer 2 Resistance</t>
  </si>
  <si>
    <t>Data Entry - Autotransformer 2 Reactance</t>
  </si>
  <si>
    <t>Table: Remote Autotransformer 3, Row 1</t>
  </si>
  <si>
    <t>Data Entry - Autotransformer 3 Resistance</t>
  </si>
  <si>
    <t>Data Entry - Autotransformer 3 Reactance</t>
  </si>
  <si>
    <t>Table: Remote Autotransformer 4, Row 1</t>
  </si>
  <si>
    <t>Data Entry - Autotransformer 4 Resistance</t>
  </si>
  <si>
    <t>Data Entry - Autotransformer 4 Reactance</t>
  </si>
  <si>
    <t>Table: Tap Power Transformer 1, Row 1</t>
  </si>
  <si>
    <t>Data Entry - Power Transformer 1 Resistance</t>
  </si>
  <si>
    <t>Data Entry - Power Transformer 1 Reactance</t>
  </si>
  <si>
    <t>Table: Tap Power Transformer 2, Row 1</t>
  </si>
  <si>
    <t>Data Entry - Power Transformer 2 Resistance</t>
  </si>
  <si>
    <t>Data Entry - Power Transformer 2 Reactance</t>
  </si>
  <si>
    <t>Table: Tap Power Transformer 3, Row 1</t>
  </si>
  <si>
    <t>Data Entry - Power Transformer 3 Resistance</t>
  </si>
  <si>
    <t>Data Entry - Power Transformer 3 Reactance</t>
  </si>
  <si>
    <t>Table: Tap Power Transformer 4, Row 1</t>
  </si>
  <si>
    <t>Data Entry - Power Transformer 4 Resistance</t>
  </si>
  <si>
    <t>Data Entry - Power Transformer 4 Reactance</t>
  </si>
  <si>
    <t>Table: Tap Power Transformer 5, Row 1</t>
  </si>
  <si>
    <t>Data Entry - Power Transformer 5 Resistance</t>
  </si>
  <si>
    <t>Data Entry - Power Transformer 5 Reactance</t>
  </si>
  <si>
    <t>Table: Tap Power Transformer 6, Row 1</t>
  </si>
  <si>
    <t>Data Entry - Power Transformer 6 Resistance</t>
  </si>
  <si>
    <t>Data Entry - Power Transformer 6 Reactance</t>
  </si>
  <si>
    <t>Table: Tap Power Transformer 7, Row 1</t>
  </si>
  <si>
    <t>Data Entry - Power Transformer 7 Resistance</t>
  </si>
  <si>
    <t>Data Entry - Power Transformer 7 Reactance</t>
  </si>
  <si>
    <t>Table: Tap Power Transformer 8, Row 1</t>
  </si>
  <si>
    <t>Data Entry - Power Transformer 8 Resistance</t>
  </si>
  <si>
    <t>Data Entry - Power Transformer 8 Reactance</t>
  </si>
  <si>
    <t>FAULT ANALYSIS INFORMATION</t>
  </si>
  <si>
    <t>3LG Phase A Value for Test 1 (Amps):</t>
  </si>
  <si>
    <t>Fault Analysis -  3LG Close In End Open</t>
  </si>
  <si>
    <t>1LG Phase A Value for Test 1 (Amps):</t>
  </si>
  <si>
    <t>Fault Analysis -  1LG Close In End Open</t>
  </si>
  <si>
    <t>3LG Phase A Value for Test 2 (Amps):</t>
  </si>
  <si>
    <t>Fault Analysis -  3LG Close In End Closed</t>
  </si>
  <si>
    <t>1LG Phase A Value for Test 2 (Amps):</t>
  </si>
  <si>
    <t>Fault Analysis -  1LG Close In End Closed</t>
  </si>
  <si>
    <t>3LG Phase A Value for Test 3 (Amps):</t>
  </si>
  <si>
    <t>Fault Analysis -  3LG Remote Bus Fault</t>
  </si>
  <si>
    <t>1LG Zero Sequence Value for Test 3 (Amps):</t>
  </si>
  <si>
    <t>Fault Analysis -  1LG Remote Bus Fault</t>
  </si>
  <si>
    <t>L-L Phase B Value for Test 3 (Amps):</t>
  </si>
  <si>
    <t>Fault Analysis -  L-L Remote Bus Fault</t>
  </si>
  <si>
    <t>1LG Zero Sequence Value for Test 4 (Amps):</t>
  </si>
  <si>
    <t>Fault Analysis - 1LG Line End Fault on Longest 2nd Line</t>
  </si>
  <si>
    <t>3LG Phase A Value for Test 5 (Amps):</t>
  </si>
  <si>
    <t>Fault Analysis - 3LG Line End Fault</t>
  </si>
  <si>
    <t>1LG Phase A Value for Test 5 (Amps):</t>
  </si>
  <si>
    <t>Fault Analysis - 1LG Line End Fault</t>
  </si>
  <si>
    <t>L-L Phase B Value for Test 5 (Amps):</t>
  </si>
  <si>
    <t>Fault Analysis - L-L Line End Fault</t>
  </si>
  <si>
    <t>Test 5 fault type generating minimum current:</t>
  </si>
  <si>
    <t>Fault Analysis - Fault Type for Min Current for Line End Fault</t>
  </si>
  <si>
    <t>1LG Zero Sequence Value for Test 5 (Amps):</t>
  </si>
  <si>
    <t>Fault Analysis - 3I0 1LG  Line End Fault</t>
  </si>
  <si>
    <t>L-L Negative Sequence Value for Test 5 (Amps):</t>
  </si>
  <si>
    <t>Fault Analysis - I2 L-L Line End Fault</t>
  </si>
  <si>
    <t>3LG Phase A Value for Test 6 (Amps):</t>
  </si>
  <si>
    <t>Fault Analysis - 3LG Bus Fault on tapped, Remote bus or Local Bus XFMR</t>
  </si>
  <si>
    <t>L-L Negative Sequence Value for Test 6 (Amps):</t>
  </si>
  <si>
    <t>Fault Analysis - I2 L-L Bus Fault on tapped, Remote bus or Local Bus XFMR</t>
  </si>
  <si>
    <t>3LG Phase A Value for Test 7 (Amps):</t>
  </si>
  <si>
    <t>Fault Analysis - 3LG Line End Fault with N-1 Outages</t>
  </si>
  <si>
    <t>1LG Phase A Value for Test 7 (Amps):</t>
  </si>
  <si>
    <t>Fault Analysis - 1LG Line End Fault with N-1 Outages</t>
  </si>
  <si>
    <t>L-L Phase B Value for Test 7 (Amps):</t>
  </si>
  <si>
    <t>Fault Analysis - L-L Line End Fault with N-1 Outages</t>
  </si>
  <si>
    <t>Test 7 fault type generating minimum current:</t>
  </si>
  <si>
    <t>Fault Analysis - Fault Type for Min Current for Line End Fault with N-1 Outages</t>
  </si>
  <si>
    <t>L-L Negative Sequence Value for Test 7 (Amps):</t>
  </si>
  <si>
    <t>Fault Analysis - I2 L-L Line End Fault with N-1 Outages</t>
  </si>
  <si>
    <t>1LG Zero Sequence Value for Test 8 (Amps):</t>
  </si>
  <si>
    <t>Fault Analysis - 3I0 1LG Reverse (Local) Bus Fault</t>
  </si>
  <si>
    <t>3LG Phase A Value for Test 9 (Amps):</t>
  </si>
  <si>
    <t>Fault Analysis - 3LG Line End Fault with sources behind Relay A removed</t>
  </si>
  <si>
    <t>L-L Phase B Value for Test 9 (Amps):</t>
  </si>
  <si>
    <t>Fault Analysis - L-L Line End Fault with sources behind Relay A removed</t>
  </si>
  <si>
    <t>L-L Negative Sequence Value for Test 9 (Amps):</t>
  </si>
  <si>
    <t>Fault Analysis - I2 L-L Line End Fault with sources behind Relay A removed</t>
  </si>
  <si>
    <t>1LG Zero Sequence Value for Test 9 (Amps):</t>
  </si>
  <si>
    <t>Fault Analysis - 3I0 1LG Line End Fault with sources behind Relay A removed</t>
  </si>
  <si>
    <t>Remote 1 Bus 3LG Phase A Value for Test 9 (Amps):</t>
  </si>
  <si>
    <t>Fault Analysis - 3LG Line End Fault with sources behind Relay B removed</t>
  </si>
  <si>
    <t>Remote 1 Bus L-L Phase B Value for Test 9 (Amps):</t>
  </si>
  <si>
    <t>Fault Analysis - L-L Line End Fault with sources behind Relay B removed</t>
  </si>
  <si>
    <t>Remote 1 Bus L-L Negative Sequence Value for Test 9 (Amps):</t>
  </si>
  <si>
    <t>Fault Analysis - I2 L-L Line End Fault with sources behind Relay B removed</t>
  </si>
  <si>
    <t>Remote 1 Bus 1LG Zero Sequence Value for Test 9 (Amps):</t>
  </si>
  <si>
    <t>Fault Analysis - 3I0 1LG Line End Fault with sources behind Relay B removed</t>
  </si>
  <si>
    <t>3LG Phase A Value for Test 10 (Amps):</t>
  </si>
  <si>
    <t>Fault Analysis - 3LG Remote Bus Fault with sources behind Relay A removed</t>
  </si>
  <si>
    <t>L-L Phase B Value for Test 10 (Amps):</t>
  </si>
  <si>
    <t>Fault Analysis - L-L Remote Bus Fault with sources behind Relay A removed</t>
  </si>
  <si>
    <t>L-L Negative Sequence Value for Test 10 (Amps):</t>
  </si>
  <si>
    <t>Fault Analysis - I2 L-L Remote Bus Fault with sources behind Relay A removed</t>
  </si>
  <si>
    <t>1LG Zero Sequence Value for Test 10 (Amps):</t>
  </si>
  <si>
    <t>Fault Analysis - 3I0 1LG Remote Bus Fault with sources behind Relay A removed</t>
  </si>
  <si>
    <t>Remote 1 Bus 3LG Phase A Value for Test 10 (Amps):</t>
  </si>
  <si>
    <t>Fault Analysis - 3LG Remote Bus Fault with sources behind Relay B removed</t>
  </si>
  <si>
    <t>Remote 1 Bus L-L Phase B Value for Test 10 (Amps):</t>
  </si>
  <si>
    <t>Fault Analysis - L-L Remote Bus Fault with sources behind Relay B removed</t>
  </si>
  <si>
    <t>Remote 1 Bus L-L Negative Sequence Value for Test 10 (Amps):</t>
  </si>
  <si>
    <t>Fault Analysis - I2 L-L Remote Bus Fault with sources behind Relay B removed</t>
  </si>
  <si>
    <t>Remote 1 Bus 1LG Zero Sequence Value for Test 10 (Amps):</t>
  </si>
  <si>
    <t>Fault Analysis - 3I0 1LG Remote Bus Fault with sources behind Relay B removed</t>
  </si>
  <si>
    <t>3LG Phase A Value for Test 11 (Amps):</t>
  </si>
  <si>
    <t>Fault Analysis - 3LG Bus Fault on Low Side of power transformer</t>
  </si>
  <si>
    <t>L-L Phase B Value for Test 11 (Amps):</t>
  </si>
  <si>
    <t>Fault Analysis - L-L Bus Fault on Low Side of power transformer</t>
  </si>
  <si>
    <t>L-L Negative Sequence Value for Test 11 (Amps):</t>
  </si>
  <si>
    <t>Fault Analysis - I2 L-L Bus Fault on Low Side of power transformer</t>
  </si>
  <si>
    <t>1LG Zero Sequence Value for Test 11 (Amps):</t>
  </si>
  <si>
    <t>Fault Analysis - 3I0 1LG Bus Fault on Low Side of power transformer</t>
  </si>
  <si>
    <t>3LG Phase A Value for Test 12 (Amps):</t>
  </si>
  <si>
    <t>Fault Analysis - 3LG Close-In Fault with End Open</t>
  </si>
  <si>
    <t>L-L Phase B Value for Test 12 (Amps):</t>
  </si>
  <si>
    <t>Fault Analysis - L-L Close-In Fault with End Open</t>
  </si>
  <si>
    <t>1LG Phase A Value for Test 12 (Amps):</t>
  </si>
  <si>
    <t>Fault Analysis - 1LG Close-In Fault with End Open</t>
  </si>
  <si>
    <t>3LG Phase A Value for Test 13 (Amps):</t>
  </si>
  <si>
    <t>BF Fault Det - 3LG Line End Faults with local sources outaged</t>
  </si>
  <si>
    <t>L-L Phase B Value for Test 13 (Amps):</t>
  </si>
  <si>
    <t>BF Fault Det - L-L Line End Faults with local sources outaged</t>
  </si>
  <si>
    <t>1LG Zero Sequence Value for Test 13 (Amps):</t>
  </si>
  <si>
    <t>BF Fault Det - 3I0 1LG Line End Faults with local sources outaged</t>
  </si>
  <si>
    <t>3LG Phase A Value for Test 14 (Amps):</t>
  </si>
  <si>
    <t>L-L Phase B Value for Test 14 (Amps):</t>
  </si>
  <si>
    <t>1LG Zero Sequence Value for Test 14 (Amps):</t>
  </si>
  <si>
    <t>X/R AND SIR INFORMATION</t>
  </si>
  <si>
    <t>R1:</t>
  </si>
  <si>
    <t>Fault Analysis - Source R1 in Primary Ohms</t>
  </si>
  <si>
    <t>X1:</t>
  </si>
  <si>
    <t>Fault Analysis - Source X1 in Primary Ohms</t>
  </si>
  <si>
    <t>R0:</t>
  </si>
  <si>
    <t>Fault Analysis - Source R0 in Primary Ohms</t>
  </si>
  <si>
    <t>X0:</t>
  </si>
  <si>
    <t>Fault Analysis - Source X0 in Primary Ohms</t>
  </si>
  <si>
    <t>R2:</t>
  </si>
  <si>
    <t>Fault Analysis - Source R2 in Primary Ohms</t>
  </si>
  <si>
    <t>X2:</t>
  </si>
  <si>
    <t>Fault Analysis - Source X2 in Primary Ohms</t>
  </si>
  <si>
    <t>X/R for TPH:</t>
  </si>
  <si>
    <t>Fault Analysis - System Normal 1LG X/R</t>
  </si>
  <si>
    <t>X/R for SLG:</t>
  </si>
  <si>
    <t>Fault Analysis - System Normal 3LG X/R</t>
  </si>
  <si>
    <t>Table: SIR SLG, Row 1</t>
  </si>
  <si>
    <t>Fault Analysis - System Normal 1LG SIR</t>
  </si>
  <si>
    <t>&lt;SIR&gt;</t>
  </si>
  <si>
    <t>Table: SIR TPH, Row 1</t>
  </si>
  <si>
    <t>Fault Analysis - System Normal 3LG SIR</t>
  </si>
  <si>
    <t>IMPEDANCE ANALYSIS INFORMATION</t>
  </si>
  <si>
    <t>Table: Fault Impedance Test 1, Row 1</t>
  </si>
  <si>
    <t>Infeed - Line End 3LG faults Second Line 1</t>
  </si>
  <si>
    <t>&lt;Apparent Impedance (Magnitude)&gt;</t>
  </si>
  <si>
    <t>&lt;Apparent Impedance (Angle)&gt;</t>
  </si>
  <si>
    <t>&lt;Fault Type&gt;</t>
  </si>
  <si>
    <t>&lt;Network Outage&gt;</t>
  </si>
  <si>
    <t>Table: Fault Impedance Test 1, Row 2</t>
  </si>
  <si>
    <t>Infeed - Line End 3LG faults Second Line 2</t>
  </si>
  <si>
    <t>Table: Fault Impedance Test 1, Row 3</t>
  </si>
  <si>
    <t>Infeed - Line End 3LG faults Second Line 3</t>
  </si>
  <si>
    <t>Table: Fault Impedance Test 1, Row 4</t>
  </si>
  <si>
    <t>Infeed - Line End 3LG faults Second Line 4</t>
  </si>
  <si>
    <t>Table: Fault Impedance Test 1, Row 5</t>
  </si>
  <si>
    <t>Infeed - Line End 3LG faults Second Line 5</t>
  </si>
  <si>
    <t>Table: Fault Impedance Test 1, Row 6</t>
  </si>
  <si>
    <t>Infeed - Line End 3LG faults Second Line 6</t>
  </si>
  <si>
    <t>Table: Fault Impedance Test 1, Row 7</t>
  </si>
  <si>
    <t>Infeed - Line End 3LG faults Second Line 7</t>
  </si>
  <si>
    <t>Table: Fault Impedance Test 1, Row 8</t>
  </si>
  <si>
    <t>Infeed - Line End 3LG faults Second Line 8</t>
  </si>
  <si>
    <t>Table: Fault Impedance Test 1, Row 9</t>
  </si>
  <si>
    <t>Infeed - Line End 3LG faults Second Line 9</t>
  </si>
  <si>
    <t>Table: Fault Impedance Test 1, Row 10</t>
  </si>
  <si>
    <t>Infeed - Line End 3LG faults Second Line 10</t>
  </si>
  <si>
    <t>Table: Fault Impedance Test 1, Row 11</t>
  </si>
  <si>
    <t>Infeed - Line End 3LG faults Second Line 11</t>
  </si>
  <si>
    <t>Table: Fault Impedance Test 1, Row 12</t>
  </si>
  <si>
    <t>Infeed - Line End 3LG faults Second Line 12</t>
  </si>
  <si>
    <t>Table: Fault Impedance Test 2, Row 1</t>
  </si>
  <si>
    <t>Infeed - Line End 3LG faults for Tap 1</t>
  </si>
  <si>
    <t>Table: Fault Impedance Test 2, Row 2</t>
  </si>
  <si>
    <t>Infeed - Line End 3LG faults for Tap 2</t>
  </si>
  <si>
    <t>Table: Fault Impedance Test 2, Row 3</t>
  </si>
  <si>
    <t>Infeed - Line End 3LG faults for Tap 3</t>
  </si>
  <si>
    <t>Table: Fault Impedance Test 2, Row 4</t>
  </si>
  <si>
    <t>Infeed - Line End 3LG faults for Tap 4</t>
  </si>
  <si>
    <t>Table: Fault Impedance Test 2, Row 5</t>
  </si>
  <si>
    <t>Infeed - Line End 3LG faults for Tap 5</t>
  </si>
  <si>
    <t>Table: Fault Impedance Test 2, Row 6</t>
  </si>
  <si>
    <t>Infeed - Line End 3LG faults for Tap 6</t>
  </si>
  <si>
    <t>Table: Fault Impedance Test 2, Row 7</t>
  </si>
  <si>
    <t>Infeed - Line End 3LG faults for Tap 7</t>
  </si>
  <si>
    <t>Table: Fault Impedance Test 2, Row 8</t>
  </si>
  <si>
    <t>Infeed - Line End 3LG faults for Tap 8</t>
  </si>
  <si>
    <t>80% min apparent impedance value for Test 3 (Magnitude):</t>
  </si>
  <si>
    <t>Zone Imp - Min Z1 estimate</t>
  </si>
  <si>
    <t>80% max apparent impedance value for Test 3 (Magnitude):</t>
  </si>
  <si>
    <t>Zone Imp - Max Z1 estimate</t>
  </si>
  <si>
    <t>120% min apparent impedance value for Test 4 (Magnitude):</t>
  </si>
  <si>
    <t>Zone Imp - Min Z2 estimate</t>
  </si>
  <si>
    <t>120% max apparent impedance value for Test 4 (Magnitude):</t>
  </si>
  <si>
    <t>Zone Imp - Max Z2 estimate</t>
  </si>
  <si>
    <t>min apparent impedance value for Test 5 (Magnitude):</t>
  </si>
  <si>
    <t>Zone Imp - Min Z2/Zp estimate</t>
  </si>
  <si>
    <t>max apparent impedance value for Test 5 (Magnitude):</t>
  </si>
  <si>
    <t>Zone Imp - Max Z2/Zp estimate</t>
  </si>
  <si>
    <t>120% min apparent impedance value for Test 6 (Magnitude):</t>
  </si>
  <si>
    <t>Zone Imp - Min Z2 (end of tapped line with infeed)</t>
  </si>
  <si>
    <t>120% max apparent impedance value for Test 6 (Magnitude):</t>
  </si>
  <si>
    <t>Zone Imp - Max Z2 (end of tapped line with infeed)</t>
  </si>
  <si>
    <t>200% min apparent impedance value for Test 7 (Magnitude):</t>
  </si>
  <si>
    <t>Zone Imp - Min Pilot Reach Estimate</t>
  </si>
  <si>
    <t>200% max apparent impedance value for Test 7 (Magnitude):</t>
  </si>
  <si>
    <t>Zone Imp - Max Pilot Reach Estimate</t>
  </si>
  <si>
    <t>120% min apparent impedance value for Test 8 (Magnitude):</t>
  </si>
  <si>
    <t xml:space="preserve">Zone Imp - Min Extended Pilot Reach </t>
  </si>
  <si>
    <t>120% max apparent impedance value for Test 8 (Magnitude):</t>
  </si>
  <si>
    <t xml:space="preserve">Zone Imp - Max Extended Pilot Reach </t>
  </si>
  <si>
    <t>200% min apparent impedance value for Test 9 (Magnitude):</t>
  </si>
  <si>
    <t>Zone Imp - Min Pilot Reach (with Tapped Line)</t>
  </si>
  <si>
    <t>200% max apparent impedance value for Test 9 (Magnitude):</t>
  </si>
  <si>
    <t>Zone Imp - Max Pilot Reach (with Tapped Line)</t>
  </si>
  <si>
    <t>min apparent impedance value for Test 10 (Magnitude):</t>
  </si>
  <si>
    <t>Zone Imp - Min Pilot Reach into distribution transformer</t>
  </si>
  <si>
    <t>max apparent impedance value for Test 10 (Magnitude):</t>
  </si>
  <si>
    <t>Zone Imp - Max Pilot Reach into distribution transformer</t>
  </si>
  <si>
    <t>120% min apparent impedance value for Test 11 (Magnitude):</t>
  </si>
  <si>
    <t>Zone Imp - Min Z3 estimate</t>
  </si>
  <si>
    <t>120% max apparent impedance value for Test 11 (Magnitude):</t>
  </si>
  <si>
    <t>Zone Imp - Max Z3 estimate</t>
  </si>
  <si>
    <t>120% min apparent impedance value for Test 12 (Magnitude):</t>
  </si>
  <si>
    <t>Zone Imp - Min Z3 estimate (Reach into distribution transformer)</t>
  </si>
  <si>
    <t>120% max apparent impedance value for Test 12 (Magnitude):</t>
  </si>
  <si>
    <t>Zone Imp - Max Z3 estimate (Reach into distribution transformer)</t>
  </si>
  <si>
    <t>min voltage value for Test 13 (PU):</t>
  </si>
  <si>
    <t>Zone Imp - Voltage for 3LG faults on tapped and local XFMR LS. N-1 contingencies</t>
  </si>
  <si>
    <t>min voltage value for Test 14 (PU):</t>
  </si>
  <si>
    <t>Zone Imp - Voltage for 3LG faults on XFMR LS. All Remote Sources Removed</t>
  </si>
  <si>
    <t>min voltage value for Test 15 (PU):</t>
  </si>
  <si>
    <t>Zone Imp - Voltage for 3LG faults on XFMR LS. N-1 contingencies applied.</t>
  </si>
  <si>
    <t>PRC-026 COMPLIANCE INFORMATION</t>
  </si>
  <si>
    <t>Table: PRC-026 Information, Row 1</t>
  </si>
  <si>
    <t xml:space="preserve">  ZS</t>
  </si>
  <si>
    <t>&lt;R&gt;</t>
  </si>
  <si>
    <t>&lt;X&gt;</t>
  </si>
  <si>
    <t>Table: PRC-026 Information, Row 2</t>
  </si>
  <si>
    <t xml:space="preserve">  ZL</t>
  </si>
  <si>
    <t>Table: PRC-026 Information, Row 3</t>
  </si>
  <si>
    <t xml:space="preserve">  ZR</t>
  </si>
  <si>
    <t>Table: PRC-026 Information, Row 12</t>
  </si>
  <si>
    <t xml:space="preserve">  Right Top Point</t>
  </si>
  <si>
    <t>Table: PRC-026 Information, Row 13</t>
  </si>
  <si>
    <t xml:space="preserve">  Right Middle Point</t>
  </si>
  <si>
    <t>Table: PRC-026 Information, Row 14</t>
  </si>
  <si>
    <t xml:space="preserve">  Right Bottom Point</t>
  </si>
  <si>
    <t>Table: PRC-026 Information, Row 15</t>
  </si>
  <si>
    <t xml:space="preserve">  Left Top Point</t>
  </si>
  <si>
    <t>Table: PRC-026 Information, Row 16</t>
  </si>
  <si>
    <t xml:space="preserve">  Left Middle Point</t>
  </si>
  <si>
    <t>Table: PRC-026 Information, Row 17</t>
  </si>
  <si>
    <t xml:space="preserve">  Left Bottom Point</t>
  </si>
  <si>
    <t>Table: PRC-026 Information, Row 4</t>
  </si>
  <si>
    <t xml:space="preserve">  Local-End Power Swing Circle Center</t>
  </si>
  <si>
    <t>Table: PRC-026 Information, Row 5</t>
  </si>
  <si>
    <t xml:space="preserve">  Local-End Power Swing Circle Radius</t>
  </si>
  <si>
    <t>Table: PRC-026 Information, Row 6</t>
  </si>
  <si>
    <t xml:space="preserve">  Remote-End Power Swing Circle Center</t>
  </si>
  <si>
    <t>Table: PRC-026 Information, Row 7</t>
  </si>
  <si>
    <t xml:space="preserve">  Remote-End Power Swing Circle Radius</t>
  </si>
  <si>
    <t>Table: PRC-026 Information, Row 8</t>
  </si>
  <si>
    <t xml:space="preserve">  Lens Left Circle Center</t>
  </si>
  <si>
    <t>Table: PRC-026 Information, Row 9</t>
  </si>
  <si>
    <t xml:space="preserve">  Lens Left Circle Radius</t>
  </si>
  <si>
    <t>Table: PRC-026 Information, Row 10</t>
  </si>
  <si>
    <t xml:space="preserve">  Lens Right Circle Center</t>
  </si>
  <si>
    <t>Table: PRC-026 Information, Row 11</t>
  </si>
  <si>
    <t xml:space="preserve">  Lens Right Circle Radius</t>
  </si>
  <si>
    <t>Table: PRC-026 Information, Row 18</t>
  </si>
  <si>
    <t xml:space="preserve">  Top Arc Start Angle</t>
  </si>
  <si>
    <t>Table: PRC-026 Information, Row 19</t>
  </si>
  <si>
    <t xml:space="preserve">  Top Arc Stop Angle</t>
  </si>
  <si>
    <t>Table: PRC-026 Information, Row 20</t>
  </si>
  <si>
    <t xml:space="preserve">  Bottom Arc Start Angle</t>
  </si>
  <si>
    <t>Table: PRC-026 Information, Row 21</t>
  </si>
  <si>
    <t xml:space="preserve">  Bottom Arc Stop Angle</t>
  </si>
  <si>
    <t>Table: PRC-026 Information, Row 22</t>
  </si>
  <si>
    <t xml:space="preserve">  Right Arc Start Angle (part of left circle)</t>
  </si>
  <si>
    <t>Table: PRC-026 Information, Row 23</t>
  </si>
  <si>
    <t xml:space="preserve">  Right Arc Stop Angle (part of left circle)</t>
  </si>
  <si>
    <t>Table: PRC-026 Information, Row 24</t>
  </si>
  <si>
    <t xml:space="preserve">  Left Arc Start Angle (part of right circle)</t>
  </si>
  <si>
    <t>Table: PRC-026 Information, Row 25</t>
  </si>
  <si>
    <t xml:space="preserve">  Left Arc Stop Angle (part of right circle)</t>
  </si>
  <si>
    <t>Table: Remote Power Transformer 1, Row 1</t>
  </si>
  <si>
    <t>Table: Remote Power Transformer 2, Row 1</t>
  </si>
  <si>
    <t>Table: Remote Power Transformer 3, Row 1</t>
  </si>
  <si>
    <t>Table: Remote Power Transformer 4, Row 1</t>
  </si>
  <si>
    <t>Table: Remote Power Transformer 5, Row 1</t>
  </si>
  <si>
    <t>Table: Remote Power Transformer 6, Row 1</t>
  </si>
  <si>
    <t>Table: Remote Power Transformer 7, Row 1</t>
  </si>
  <si>
    <t>Table: Remote Power Transformer 8, Row 1</t>
  </si>
  <si>
    <t>min apparent impedance angle for Test 3:</t>
  </si>
  <si>
    <t>Zone Imp - Min Z1 angle estimate</t>
  </si>
  <si>
    <t>max apparent impedance angle for Test 3:</t>
  </si>
  <si>
    <t>Zone Imp - Max Z1 angle estimate</t>
  </si>
  <si>
    <t>min apparent impedance angle for Test 4:</t>
  </si>
  <si>
    <t>Zone Imp - Min Z2 angle estimate</t>
  </si>
  <si>
    <t>max apparent impedance angle for Test 4:</t>
  </si>
  <si>
    <t>Zone Imp - Max Z2 angle estimate</t>
  </si>
  <si>
    <t>min apparent impedance angle for Test 5:</t>
  </si>
  <si>
    <t>Zone Imp - Min Z2/Zp angle estimate</t>
  </si>
  <si>
    <t>max apparent impedance angle for Test 5:</t>
  </si>
  <si>
    <t>Zone Imp - Max Z2/Zp angle estimate</t>
  </si>
  <si>
    <t>min apparent impedance angle for Test 6:</t>
  </si>
  <si>
    <t>Zone Imp - Min Z2 angle estimate (end of tapped line with infeed)</t>
  </si>
  <si>
    <t>max apparent impedance angle for Test 6:</t>
  </si>
  <si>
    <t>Zone Imp - Max Z2 angle estimate (end of tapped line with infeed)</t>
  </si>
  <si>
    <t>min apparent impedance angle for Test 7:</t>
  </si>
  <si>
    <t>Zone Imp - Min pilot reach angle Estimate</t>
  </si>
  <si>
    <t>max apparent impedance angle for Test 7:</t>
  </si>
  <si>
    <t>Zone Imp - Max pilot reach angle Estimate</t>
  </si>
  <si>
    <t>min apparent impedance angle for Test 8:</t>
  </si>
  <si>
    <t>Zone Imp - Min extended pilot reach angle estimate</t>
  </si>
  <si>
    <t>max apparent impedance angle for Test 8:</t>
  </si>
  <si>
    <t>Zone Imp - Max extended pilot reach angle estimate</t>
  </si>
  <si>
    <t>min apparent impedance angle for Test 9:</t>
  </si>
  <si>
    <t>Zone Imp - Min pilot reach angle estimate (with Tapped Line)</t>
  </si>
  <si>
    <t>max apparent impedance angle for Test 9:</t>
  </si>
  <si>
    <t>Zone Imp - Max pilot reach angle estimate (with Tapped Line)</t>
  </si>
  <si>
    <t>min apparent impedance angle for Test 10:</t>
  </si>
  <si>
    <t>Zone Imp - Min pilot reach angle estimate into distribution transformer</t>
  </si>
  <si>
    <t>max apparent impedance angle for Test 10:</t>
  </si>
  <si>
    <t>Zone Imp - Max pilot reach angle estimate into distribution transformer</t>
  </si>
  <si>
    <t>min apparent impedance angle for Test 11:</t>
  </si>
  <si>
    <t>Zone Imp - Min Z3 angle estimate</t>
  </si>
  <si>
    <t>max apparent impedance angle for Test 11:</t>
  </si>
  <si>
    <t>Zone Imp - Max Z3 angle estimate</t>
  </si>
  <si>
    <t>min apparent impedance angle for Test 12:</t>
  </si>
  <si>
    <t>Zone Imp - Min Z3 angle estimate (Reach into distribution transformer)</t>
  </si>
  <si>
    <t>max apparent impedance angle for Test 12:</t>
  </si>
  <si>
    <t>Zone Imp - Max Z3 angle estimate (Reach into distribution transformer)</t>
  </si>
  <si>
    <t>PRC-026 Stability Boundary</t>
  </si>
  <si>
    <t>PRC-206 Stability Boundary Check</t>
  </si>
  <si>
    <t>Warning</t>
  </si>
  <si>
    <t>Param</t>
  </si>
  <si>
    <t>Point 1</t>
  </si>
  <si>
    <t>Local End Start Point</t>
  </si>
  <si>
    <t>Point 2</t>
  </si>
  <si>
    <t>Local End Stop Point</t>
  </si>
  <si>
    <t>Line Impedance Settings</t>
  </si>
  <si>
    <t>Point 3</t>
  </si>
  <si>
    <t>Lens Left Circle Start Point</t>
  </si>
  <si>
    <t>Impedance (P. Ohms)</t>
  </si>
  <si>
    <t>Angle (degrees)</t>
  </si>
  <si>
    <t>Point 4</t>
  </si>
  <si>
    <t>Lens Left Circle End Point</t>
  </si>
  <si>
    <t>Point 5</t>
  </si>
  <si>
    <t>Remote End Start Point</t>
  </si>
  <si>
    <t>Point 6</t>
  </si>
  <si>
    <t>Remote End Stop Point</t>
  </si>
  <si>
    <t>Mho Distance Elements Input Settings</t>
  </si>
  <si>
    <t>Point 7</t>
  </si>
  <si>
    <t>Lens Right Circle Start Point</t>
  </si>
  <si>
    <t>Reach (P. Ohms)</t>
  </si>
  <si>
    <t>Offset (P. Ohms)</t>
  </si>
  <si>
    <t>Direction (F/R)</t>
  </si>
  <si>
    <t>Point 8</t>
  </si>
  <si>
    <t>Lens Right Circle End Point</t>
  </si>
  <si>
    <t>Zone 1 (Blue)</t>
  </si>
  <si>
    <t>Point 9</t>
  </si>
  <si>
    <t>Zone 2 (Purple)</t>
  </si>
  <si>
    <t>Point 10</t>
  </si>
  <si>
    <t>Zone 3 (Green)</t>
  </si>
  <si>
    <t>Point 11</t>
  </si>
  <si>
    <t>Zone 4 (Orange)</t>
  </si>
  <si>
    <t>Point 12</t>
  </si>
  <si>
    <t>Zone 5 (Grey)</t>
  </si>
  <si>
    <t>Point 13</t>
  </si>
  <si>
    <t>Point 14</t>
  </si>
  <si>
    <t>PRC-026 Curve Parameters</t>
  </si>
  <si>
    <t>Point 15</t>
  </si>
  <si>
    <t>Total System Impedance</t>
  </si>
  <si>
    <t>R (P. Ohms)</t>
  </si>
  <si>
    <t>X (P. Ohms)</t>
  </si>
  <si>
    <t>Point 16</t>
  </si>
  <si>
    <t>ZS</t>
  </si>
  <si>
    <t>Point 17</t>
  </si>
  <si>
    <t>ZL</t>
  </si>
  <si>
    <t>Point 18</t>
  </si>
  <si>
    <t>ZR</t>
  </si>
  <si>
    <t>Point 19</t>
  </si>
  <si>
    <t>Right Top Point</t>
  </si>
  <si>
    <t>Point 20</t>
  </si>
  <si>
    <t>Mho Distance Elements Points</t>
  </si>
  <si>
    <t>Right Middle Point</t>
  </si>
  <si>
    <t>Point 21</t>
  </si>
  <si>
    <t>Zone 1</t>
  </si>
  <si>
    <t>Zone 2</t>
  </si>
  <si>
    <t>Zone 3</t>
  </si>
  <si>
    <t>Zone 4</t>
  </si>
  <si>
    <t>Zone 5</t>
  </si>
  <si>
    <t>Right Bottom Point</t>
  </si>
  <si>
    <t>Point 22</t>
  </si>
  <si>
    <t>Points</t>
  </si>
  <si>
    <t>Left Top Point</t>
  </si>
  <si>
    <t>Point 23</t>
  </si>
  <si>
    <t>Left Middle Point</t>
  </si>
  <si>
    <t>Point 24</t>
  </si>
  <si>
    <t>Left Bottom Point</t>
  </si>
  <si>
    <t>Point 25</t>
  </si>
  <si>
    <t>Local-End Power Swing Circle Center</t>
  </si>
  <si>
    <t>Point 26</t>
  </si>
  <si>
    <t>Local-End Power Swing Circle Radius</t>
  </si>
  <si>
    <t>Point 27</t>
  </si>
  <si>
    <t>Remote-End Power Swing Circle Center</t>
  </si>
  <si>
    <t>Point 28</t>
  </si>
  <si>
    <t>Remote-End Power Swing Circle Radius</t>
  </si>
  <si>
    <t>Point 29</t>
  </si>
  <si>
    <t>Lens Left Circle Center</t>
  </si>
  <si>
    <t>Point 30</t>
  </si>
  <si>
    <t>Lens Left Circle Radius</t>
  </si>
  <si>
    <t>Point 31</t>
  </si>
  <si>
    <t>Lens Right Circle Center</t>
  </si>
  <si>
    <t>Point 32</t>
  </si>
  <si>
    <t>Lens Right Circle Radius</t>
  </si>
  <si>
    <t>Point 33</t>
  </si>
  <si>
    <t>Point 34</t>
  </si>
  <si>
    <t>Point 35</t>
  </si>
  <si>
    <t>Local-End Power Swing Arc Start Angle</t>
  </si>
  <si>
    <t>Point 36</t>
  </si>
  <si>
    <t>Local-End Power Swing Arc Stop Angle</t>
  </si>
  <si>
    <t>Point 37</t>
  </si>
  <si>
    <t>Remote-End Power Swing Arc Start Angle</t>
  </si>
  <si>
    <t>Point 38</t>
  </si>
  <si>
    <t>Remote-End Power Swing Arc Stop Angle</t>
  </si>
  <si>
    <t>Point 39</t>
  </si>
  <si>
    <t>Right Lens Start Angle</t>
  </si>
  <si>
    <t>Point 40</t>
  </si>
  <si>
    <t>Right Lens Stop Angle</t>
  </si>
  <si>
    <t>Point 41</t>
  </si>
  <si>
    <t>Left Lens Start Angle</t>
  </si>
  <si>
    <t>Point 42</t>
  </si>
  <si>
    <t>Left Lens Stop Angle</t>
  </si>
  <si>
    <t>Point 43</t>
  </si>
  <si>
    <t>Point 44</t>
  </si>
  <si>
    <t>Point 45</t>
  </si>
  <si>
    <t>Point 46</t>
  </si>
  <si>
    <t>Point 47</t>
  </si>
  <si>
    <t>Point 48</t>
  </si>
  <si>
    <t>Point 49</t>
  </si>
  <si>
    <t>Point 50</t>
  </si>
  <si>
    <t>Point 51</t>
  </si>
  <si>
    <t>Point 52</t>
  </si>
  <si>
    <t>Point 53</t>
  </si>
  <si>
    <t>Point 54</t>
  </si>
  <si>
    <t>Point 55</t>
  </si>
  <si>
    <t>Point 56</t>
  </si>
  <si>
    <t>Point 57</t>
  </si>
  <si>
    <t>Point 58</t>
  </si>
  <si>
    <t>Point 59</t>
  </si>
  <si>
    <t>Point 60</t>
  </si>
  <si>
    <t>Point 61</t>
  </si>
  <si>
    <t>Point 62</t>
  </si>
  <si>
    <t>Point 63</t>
  </si>
  <si>
    <t>Point 64</t>
  </si>
  <si>
    <t>Point 65</t>
  </si>
  <si>
    <t>Point 66</t>
  </si>
  <si>
    <t>Point 67</t>
  </si>
  <si>
    <t>Point 68</t>
  </si>
  <si>
    <t>Point 69</t>
  </si>
  <si>
    <t>Point 70</t>
  </si>
  <si>
    <t>Point 71</t>
  </si>
  <si>
    <t>Point 72</t>
  </si>
  <si>
    <t>Point 73</t>
  </si>
  <si>
    <t>Point 74</t>
  </si>
  <si>
    <t>Point 75</t>
  </si>
  <si>
    <t>Point 76</t>
  </si>
  <si>
    <t>Point 77</t>
  </si>
  <si>
    <t>Point 78</t>
  </si>
  <si>
    <t>Point 79</t>
  </si>
  <si>
    <t>Point 80</t>
  </si>
  <si>
    <t>Point 81</t>
  </si>
  <si>
    <t>Point 82</t>
  </si>
  <si>
    <t>Point 83</t>
  </si>
  <si>
    <t>Point 84</t>
  </si>
  <si>
    <t>Point 85</t>
  </si>
  <si>
    <t>Start 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</si>
</sst>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quot;_);_(@_)"/>
    <numFmt numFmtId="165" formatCode="_(* #,##0.00_);_(* \(#,##0.00\);_(* &quot;-&quot;??_);_(@_)"/>
    <numFmt numFmtId="166" formatCode="0.00000"/>
    <numFmt numFmtId="167" formatCode="0.0000"/>
    <numFmt numFmtId="168" formatCode="0.0"/>
    <numFmt numFmtId="169" formatCode="0.000"/>
    <numFmt numFmtId="170" formatCode="0.000000"/>
    <numFmt numFmtId="171" formatCode="0.E+00"/>
    <numFmt numFmtId="172" formatCode="0.0%"/>
    <numFmt numFmtId="173" formatCode="_(* #,##0.000000_);_(* \(#,##0.000000\);_(* &quot;-&quot;??????_);_(@_)"/>
    <numFmt numFmtId="174" formatCode="_(* #,##0.0_);_(* \(#,##0.0\);_(* &quot;-&quot;?_);_(@_)"/>
    <numFmt numFmtId="175" formatCode="_(* #,##0_);_(* \(#,##0\);_(* &quot;-&quot;??????_);_(@_)"/>
  </numFmts>
  <fonts count="13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MS Sans Serif"/>
      <family val="2"/>
    </font>
    <font>
      <sz val="8"/>
      <name val="Arial"/>
      <family val="2"/>
    </font>
    <font>
      <b/>
      <sz val="10"/>
      <name val="Arial"/>
      <family val="2"/>
    </font>
    <font>
      <sz val="14"/>
      <name val="Arial"/>
      <family val="2"/>
    </font>
    <font>
      <b/>
      <sz val="14"/>
      <name val="Arial"/>
      <family val="2"/>
    </font>
    <font>
      <sz val="10"/>
      <color indexed="10"/>
      <name val="Arial"/>
      <family val="2"/>
    </font>
    <font>
      <sz val="10"/>
      <name val="Arial"/>
      <family val="2"/>
    </font>
    <font>
      <sz val="8"/>
      <name val="Arial"/>
      <family val="2"/>
    </font>
    <font>
      <sz val="9"/>
      <name val="Arial"/>
      <family val="2"/>
    </font>
    <font>
      <sz val="9"/>
      <color indexed="8"/>
      <name val="Arial"/>
      <family val="2"/>
    </font>
    <font>
      <b/>
      <sz val="10"/>
      <color indexed="9"/>
      <name val="Arial"/>
      <family val="2"/>
    </font>
    <font>
      <sz val="7.5"/>
      <name val="Arial"/>
      <family val="2"/>
    </font>
    <font>
      <sz val="7.5"/>
      <color indexed="10"/>
      <name val="Arial"/>
      <family val="2"/>
    </font>
    <font>
      <b/>
      <sz val="10"/>
      <color indexed="10"/>
      <name val="Arial"/>
      <family val="2"/>
    </font>
    <font>
      <sz val="8"/>
      <name val="Courier"/>
      <family val="3"/>
    </font>
    <font>
      <sz val="8"/>
      <color indexed="10"/>
      <name val="Courier"/>
      <family val="3"/>
    </font>
    <font>
      <sz val="8"/>
      <color indexed="12"/>
      <name val="Courier"/>
      <family val="3"/>
    </font>
    <font>
      <sz val="7"/>
      <name val="Arial"/>
      <family val="2"/>
    </font>
    <font>
      <sz val="8"/>
      <color indexed="14"/>
      <name val="Arial"/>
      <family val="2"/>
    </font>
    <font>
      <b/>
      <sz val="10"/>
      <color indexed="17"/>
      <name val="Arial"/>
      <family val="2"/>
    </font>
    <font>
      <b/>
      <sz val="10"/>
      <color indexed="12"/>
      <name val="Arial"/>
      <family val="2"/>
    </font>
    <font>
      <sz val="10"/>
      <color indexed="12"/>
      <name val="Arial"/>
      <family val="2"/>
    </font>
    <font>
      <b/>
      <sz val="9"/>
      <name val="Arial"/>
      <family val="2"/>
    </font>
    <font>
      <b/>
      <sz val="7.5"/>
      <name val="Arial"/>
      <family val="2"/>
    </font>
    <font>
      <sz val="8"/>
      <color indexed="12"/>
      <name val="Arial"/>
      <family val="2"/>
    </font>
    <font>
      <sz val="7"/>
      <name val="Symbol"/>
      <family val="1"/>
      <charset val="2"/>
    </font>
    <font>
      <sz val="10"/>
      <color indexed="14"/>
      <name val="Arial"/>
      <family val="2"/>
    </font>
    <font>
      <b/>
      <sz val="8"/>
      <name val="Arial"/>
      <family val="2"/>
    </font>
    <font>
      <i/>
      <sz val="6"/>
      <name val="Arial"/>
      <family val="2"/>
    </font>
    <font>
      <b/>
      <sz val="16"/>
      <name val="Arial"/>
      <family val="2"/>
    </font>
    <font>
      <b/>
      <sz val="12"/>
      <color indexed="12"/>
      <name val="Arial"/>
      <family val="2"/>
    </font>
    <font>
      <b/>
      <vertAlign val="superscript"/>
      <sz val="10"/>
      <name val="Arial"/>
      <family val="2"/>
    </font>
    <font>
      <sz val="12"/>
      <name val="Arial"/>
      <family val="2"/>
    </font>
    <font>
      <sz val="10"/>
      <name val="Courier"/>
      <family val="3"/>
    </font>
    <font>
      <sz val="10"/>
      <color indexed="9"/>
      <name val="Arial"/>
      <family val="2"/>
    </font>
    <font>
      <b/>
      <sz val="14"/>
      <color indexed="12"/>
      <name val="Arial"/>
      <family val="2"/>
    </font>
    <font>
      <b/>
      <sz val="12"/>
      <name val="Arial"/>
      <family val="2"/>
    </font>
    <font>
      <b/>
      <sz val="12"/>
      <color indexed="10"/>
      <name val="Arial"/>
      <family val="2"/>
    </font>
    <font>
      <b/>
      <sz val="10"/>
      <color indexed="56"/>
      <name val="Arial"/>
      <family val="2"/>
    </font>
    <font>
      <sz val="10"/>
      <color indexed="22"/>
      <name val="Arial"/>
      <family val="2"/>
    </font>
    <font>
      <sz val="12"/>
      <name val="Times New Roman"/>
      <family val="1"/>
    </font>
    <font>
      <b/>
      <sz val="12"/>
      <color indexed="10"/>
      <name val="Times New Roman"/>
      <family val="1"/>
    </font>
    <font>
      <sz val="12"/>
      <color indexed="10"/>
      <name val="Arial"/>
      <family val="2"/>
    </font>
    <font>
      <b/>
      <sz val="8"/>
      <color indexed="12"/>
      <name val="Arial"/>
      <family val="2"/>
    </font>
    <font>
      <i/>
      <sz val="10"/>
      <name val="Arial"/>
      <family val="2"/>
    </font>
    <font>
      <b/>
      <sz val="7"/>
      <name val="Arial"/>
      <family val="2"/>
    </font>
    <font>
      <b/>
      <u/>
      <sz val="14"/>
      <name val="Arial"/>
      <family val="2"/>
    </font>
    <font>
      <b/>
      <vertAlign val="subscript"/>
      <sz val="10"/>
      <name val="Arial"/>
      <family val="2"/>
    </font>
    <font>
      <vertAlign val="subscript"/>
      <sz val="7"/>
      <name val="Arial"/>
      <family val="2"/>
    </font>
    <font>
      <sz val="10"/>
      <color indexed="8"/>
      <name val="Arial"/>
      <family val="2"/>
    </font>
    <font>
      <b/>
      <sz val="12"/>
      <color indexed="14"/>
      <name val="Arial"/>
      <family val="2"/>
    </font>
    <font>
      <b/>
      <sz val="10"/>
      <color indexed="14"/>
      <name val="Arial"/>
      <family val="2"/>
    </font>
    <font>
      <sz val="10"/>
      <name val="Arial"/>
      <family val="2"/>
    </font>
    <font>
      <sz val="8"/>
      <name val="Arial"/>
      <family val="2"/>
    </font>
    <font>
      <sz val="16"/>
      <name val="Arial"/>
      <family val="2"/>
    </font>
    <font>
      <sz val="10"/>
      <name val="Arial"/>
      <family val="2"/>
    </font>
    <font>
      <b/>
      <sz val="22"/>
      <name val="Arial"/>
      <family val="2"/>
    </font>
    <font>
      <sz val="11"/>
      <color indexed="8"/>
      <name val="Calibri"/>
      <family val="2"/>
    </font>
    <font>
      <sz val="11"/>
      <name val="Calibri"/>
      <family val="2"/>
    </font>
    <font>
      <sz val="11"/>
      <color indexed="12"/>
      <name val="Calibri"/>
      <family val="2"/>
    </font>
    <font>
      <b/>
      <sz val="11"/>
      <color indexed="10"/>
      <name val="Calibri"/>
      <family val="2"/>
    </font>
    <font>
      <sz val="11"/>
      <color indexed="10"/>
      <name val="Calibri"/>
      <family val="2"/>
    </font>
    <font>
      <b/>
      <sz val="22"/>
      <color indexed="10"/>
      <name val="Arial"/>
      <family val="2"/>
    </font>
    <font>
      <sz val="20"/>
      <color indexed="8"/>
      <name val="Calibri"/>
      <family val="2"/>
    </font>
    <font>
      <sz val="8"/>
      <name val="Arial"/>
      <family val="2"/>
    </font>
    <font>
      <sz val="8"/>
      <color indexed="81"/>
      <name val="Tahoma"/>
      <family val="2"/>
    </font>
    <font>
      <b/>
      <sz val="8"/>
      <color indexed="81"/>
      <name val="Tahoma"/>
      <family val="2"/>
    </font>
    <font>
      <b/>
      <sz val="12"/>
      <name val="Times New Roman"/>
      <family val="1"/>
    </font>
    <font>
      <sz val="9"/>
      <color indexed="81"/>
      <name val="Tahoma"/>
      <family val="2"/>
    </font>
    <font>
      <sz val="11"/>
      <color theme="1"/>
      <name val="Calibri"/>
      <family val="2"/>
      <scheme val="minor"/>
    </font>
    <font>
      <b/>
      <sz val="10"/>
      <color rgb="FF7030A0"/>
      <name val="Arial"/>
      <family val="2"/>
    </font>
    <font>
      <sz val="10"/>
      <color rgb="FFFF00FF"/>
      <name val="Arial"/>
      <family val="2"/>
    </font>
    <font>
      <b/>
      <sz val="14"/>
      <color rgb="FFFF0000"/>
      <name val="Arial"/>
      <family val="2"/>
    </font>
    <font>
      <b/>
      <sz val="10"/>
      <color rgb="FFFF0000"/>
      <name val="Arial"/>
      <family val="2"/>
    </font>
    <font>
      <b/>
      <sz val="12"/>
      <color rgb="FF00B050"/>
      <name val="Arial"/>
      <family val="2"/>
    </font>
    <font>
      <sz val="36"/>
      <color indexed="8"/>
      <name val="Calibri"/>
      <family val="2"/>
    </font>
    <font>
      <sz val="36"/>
      <name val="Calibri"/>
      <family val="2"/>
    </font>
    <font>
      <b/>
      <sz val="36"/>
      <color indexed="8"/>
      <name val="Calibri"/>
      <family val="2"/>
    </font>
    <font>
      <b/>
      <sz val="36"/>
      <name val="Calibri"/>
      <family val="2"/>
    </font>
    <font>
      <b/>
      <sz val="36"/>
      <color indexed="10"/>
      <name val="Calibri"/>
      <family val="2"/>
    </font>
    <font>
      <sz val="18"/>
      <name val="Arial"/>
      <family val="2"/>
    </font>
    <font>
      <sz val="10"/>
      <color rgb="FF333333"/>
      <name val="Arial"/>
      <family val="2"/>
    </font>
    <font>
      <i/>
      <sz val="10"/>
      <color rgb="FFFF00FF"/>
      <name val="Arial"/>
      <family val="2"/>
    </font>
    <font>
      <sz val="10"/>
      <color rgb="FF000000"/>
      <name val="Arial"/>
      <family val="2"/>
    </font>
    <font>
      <sz val="10"/>
      <color rgb="FF7030A0"/>
      <name val="Arial"/>
      <family val="2"/>
    </font>
    <font>
      <b/>
      <sz val="10"/>
      <color rgb="FF0000FF"/>
      <name val="Arial"/>
      <family val="2"/>
    </font>
    <font>
      <b/>
      <sz val="12"/>
      <color rgb="FFFF0000"/>
      <name val="Arial"/>
      <family val="2"/>
    </font>
    <font>
      <b/>
      <sz val="8"/>
      <color rgb="FFFF0000"/>
      <name val="Arial"/>
      <family val="2"/>
    </font>
    <font>
      <sz val="72"/>
      <color indexed="81"/>
      <name val="Calibri"/>
      <family val="2"/>
      <scheme val="minor"/>
    </font>
    <font>
      <sz val="10"/>
      <name val="MS Sans Serif"/>
      <family val="2"/>
    </font>
    <font>
      <i/>
      <sz val="8"/>
      <name val="Arial"/>
      <family val="2"/>
    </font>
    <font>
      <vertAlign val="superscript"/>
      <sz val="10"/>
      <name val="Arial"/>
      <family val="2"/>
    </font>
    <font>
      <vertAlign val="subscript"/>
      <sz val="8"/>
      <name val="Arial"/>
      <family val="2"/>
    </font>
    <font>
      <vertAlign val="subscript"/>
      <sz val="10"/>
      <name val="Arial"/>
      <family val="2"/>
    </font>
    <font>
      <vertAlign val="superscript"/>
      <sz val="8"/>
      <name val="Arial"/>
      <family val="2"/>
    </font>
    <font>
      <sz val="8"/>
      <color rgb="FFFF0000"/>
      <name val="Arial"/>
      <family val="2"/>
    </font>
    <font>
      <b/>
      <vertAlign val="subscript"/>
      <sz val="12"/>
      <name val="Arial"/>
      <family val="2"/>
    </font>
    <font>
      <sz val="10"/>
      <color theme="0"/>
      <name val="Arial"/>
      <family val="2"/>
    </font>
    <font>
      <sz val="10"/>
      <color theme="1"/>
      <name val="Arial"/>
      <family val="2"/>
    </font>
    <font>
      <b/>
      <sz val="9"/>
      <color indexed="81"/>
      <name val="Tahoma"/>
      <family val="2"/>
    </font>
    <font>
      <b/>
      <sz val="16"/>
      <color rgb="FFFF0000"/>
      <name val="Arial"/>
      <family val="2"/>
    </font>
    <font>
      <b/>
      <sz val="10"/>
      <color rgb="FFFFFF00"/>
      <name val="Arial"/>
      <family val="2"/>
    </font>
    <font>
      <sz val="10"/>
      <name val="Arial Narrow"/>
      <family val="2"/>
    </font>
    <font>
      <sz val="10"/>
      <color rgb="FFFF0000"/>
      <name val="Arial"/>
      <family val="2"/>
    </font>
    <font>
      <b/>
      <sz val="9"/>
      <color rgb="FFFF0000"/>
      <name val="Arial"/>
      <family val="2"/>
    </font>
    <font>
      <b/>
      <u/>
      <sz val="9"/>
      <color rgb="FFFF0000"/>
      <name val="Arial"/>
      <family val="2"/>
    </font>
    <font>
      <b/>
      <sz val="10"/>
      <name val="Univers 45 Light"/>
      <family val="2"/>
    </font>
    <font>
      <sz val="10"/>
      <color rgb="FFFF0000"/>
      <name val="MS Sans Serif"/>
      <family val="2"/>
    </font>
    <font>
      <b/>
      <sz val="10"/>
      <color rgb="FFFF00FF"/>
      <name val="Arial"/>
      <family val="2"/>
    </font>
    <font>
      <b/>
      <sz val="10"/>
      <color rgb="FFFF0000"/>
      <name val="MS Sans Serif"/>
    </font>
    <font>
      <b/>
      <sz val="10"/>
      <color rgb="FFFF66CC"/>
      <name val="Arial"/>
      <family val="2"/>
    </font>
    <font>
      <sz val="10"/>
      <color rgb="FFFF66CC"/>
      <name val="Arial"/>
      <family val="2"/>
    </font>
    <font>
      <sz val="8"/>
      <color rgb="FFFF00FF"/>
      <name val="Arial"/>
      <family val="2"/>
    </font>
    <font>
      <b/>
      <sz val="11"/>
      <color theme="0"/>
      <name val="Calibri"/>
      <family val="2"/>
      <scheme val="minor"/>
    </font>
    <font>
      <u/>
      <sz val="11"/>
      <color theme="10"/>
      <name val="Calibri"/>
      <family val="2"/>
      <scheme val="minor"/>
    </font>
    <font>
      <b/>
      <sz val="11"/>
      <color theme="1"/>
      <name val="Calibri"/>
      <family val="2"/>
      <scheme val="minor"/>
    </font>
    <font>
      <b/>
      <sz val="10"/>
      <color rgb="FF00B050"/>
      <name val="Arial"/>
      <family val="2"/>
    </font>
    <font>
      <sz val="10"/>
      <color rgb="FF0000FF"/>
      <name val="Arial"/>
      <family val="2"/>
    </font>
    <font>
      <b/>
      <u/>
      <sz val="10"/>
      <color rgb="FFFF00FF"/>
      <name val="Arial"/>
      <family val="2"/>
    </font>
    <font>
      <b/>
      <sz val="10"/>
      <color rgb="FF000000"/>
      <name val="Arial"/>
      <family val="2"/>
    </font>
    <font>
      <b/>
      <u/>
      <sz val="12"/>
      <name val="Arial"/>
      <family val="2"/>
    </font>
    <font>
      <sz val="8"/>
      <color rgb="FF000000"/>
      <name val="Tahoma"/>
      <family val="2"/>
    </font>
  </fonts>
  <fills count="25">
    <fill>
      <patternFill patternType="none"/>
    </fill>
    <fill>
      <patternFill patternType="gray125"/>
    </fill>
    <fill>
      <patternFill patternType="solid">
        <fgColor indexed="65"/>
        <bgColor indexed="64"/>
      </patternFill>
    </fill>
    <fill>
      <patternFill patternType="solid">
        <fgColor indexed="22"/>
        <bgColor indexed="64"/>
      </patternFill>
    </fill>
    <fill>
      <patternFill patternType="solid">
        <fgColor indexed="26"/>
        <bgColor indexed="64"/>
      </patternFill>
    </fill>
    <fill>
      <patternFill patternType="gray06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43"/>
        <bgColor indexed="64"/>
      </patternFill>
    </fill>
    <fill>
      <patternFill patternType="solid">
        <fgColor indexed="13"/>
        <bgColor indexed="64"/>
      </patternFill>
    </fill>
    <fill>
      <patternFill patternType="solid">
        <fgColor rgb="FFFFFFCC"/>
        <bgColor indexed="64"/>
      </patternFill>
    </fill>
    <fill>
      <patternFill patternType="solid">
        <fgColor theme="0"/>
        <bgColor indexed="64"/>
      </patternFill>
    </fill>
    <fill>
      <patternFill patternType="solid">
        <fgColor indexed="44"/>
        <bgColor indexed="64"/>
      </patternFill>
    </fill>
    <fill>
      <patternFill patternType="solid">
        <fgColor rgb="FFFFFF00"/>
        <bgColor indexed="64"/>
      </patternFill>
    </fill>
    <fill>
      <patternFill patternType="solid">
        <fgColor rgb="FF92D050"/>
        <bgColor indexed="64"/>
      </patternFill>
    </fill>
    <fill>
      <patternFill patternType="solid">
        <fgColor theme="1"/>
        <bgColor indexed="64"/>
      </patternFill>
    </fill>
    <fill>
      <patternFill patternType="solid">
        <fgColor theme="0" tint="-0.14999847407452621"/>
        <bgColor indexed="64"/>
      </patternFill>
    </fill>
    <fill>
      <patternFill patternType="solid">
        <fgColor rgb="FF7030A0"/>
        <bgColor indexed="64"/>
      </patternFill>
    </fill>
    <fill>
      <patternFill patternType="solid">
        <fgColor rgb="FF0070C0"/>
        <bgColor indexed="64"/>
      </patternFill>
    </fill>
    <fill>
      <patternFill patternType="solid">
        <fgColor theme="9" tint="-0.249977111117893"/>
        <bgColor indexed="64"/>
      </patternFill>
    </fill>
    <fill>
      <patternFill patternType="solid">
        <fgColor theme="5"/>
        <bgColor indexed="64"/>
      </patternFill>
    </fill>
    <fill>
      <patternFill patternType="solid">
        <fgColor theme="4"/>
        <bgColor indexed="64"/>
      </patternFill>
    </fill>
    <fill>
      <patternFill patternType="solid">
        <fgColor theme="2" tint="-9.9978637043366805E-2"/>
        <bgColor indexed="64"/>
      </patternFill>
    </fill>
    <fill>
      <patternFill patternType="solid">
        <fgColor theme="2" tint="-0.499984740745262"/>
        <bgColor indexed="64"/>
      </patternFill>
    </fill>
  </fills>
  <borders count="110">
    <border>
      <left/>
      <right/>
      <top/>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ck">
        <color indexed="64"/>
      </right>
      <top/>
      <bottom/>
      <diagonal/>
    </border>
    <border>
      <left/>
      <right style="thick">
        <color indexed="64"/>
      </right>
      <top/>
      <bottom style="medium">
        <color indexed="64"/>
      </bottom>
      <diagonal/>
    </border>
    <border>
      <left/>
      <right/>
      <top/>
      <bottom style="thick">
        <color indexed="64"/>
      </bottom>
      <diagonal/>
    </border>
    <border>
      <left/>
      <right style="thick">
        <color indexed="64"/>
      </right>
      <top/>
      <bottom style="thick">
        <color indexed="64"/>
      </bottom>
      <diagonal/>
    </border>
    <border>
      <left/>
      <right/>
      <top style="thick">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medium">
        <color indexed="64"/>
      </top>
      <bottom/>
      <diagonal/>
    </border>
    <border>
      <left style="thick">
        <color indexed="64"/>
      </left>
      <right/>
      <top/>
      <bottom style="thick">
        <color indexed="64"/>
      </bottom>
      <diagonal/>
    </border>
    <border>
      <left style="thick">
        <color indexed="64"/>
      </left>
      <right/>
      <top/>
      <bottom/>
      <diagonal/>
    </border>
    <border>
      <left/>
      <right style="thin">
        <color indexed="64"/>
      </right>
      <top/>
      <bottom/>
      <diagonal/>
    </border>
    <border>
      <left style="thick">
        <color indexed="64"/>
      </left>
      <right/>
      <top/>
      <bottom style="thin">
        <color indexed="64"/>
      </bottom>
      <diagonal/>
    </border>
    <border>
      <left style="thick">
        <color indexed="64"/>
      </left>
      <right/>
      <top style="thick">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9"/>
      </left>
      <right style="thin">
        <color indexed="9"/>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style="thick">
        <color indexed="64"/>
      </right>
      <top/>
      <bottom/>
      <diagonal/>
    </border>
    <border>
      <left/>
      <right style="thin">
        <color indexed="9"/>
      </right>
      <top/>
      <bottom/>
      <diagonal/>
    </border>
    <border>
      <left style="thin">
        <color indexed="64"/>
      </left>
      <right/>
      <top style="thin">
        <color indexed="64"/>
      </top>
      <bottom/>
      <diagonal/>
    </border>
    <border>
      <left style="thin">
        <color indexed="64"/>
      </left>
      <right/>
      <top/>
      <bottom style="thick">
        <color indexed="64"/>
      </bottom>
      <diagonal/>
    </border>
    <border>
      <left style="thick">
        <color indexed="64"/>
      </left>
      <right style="thin">
        <color indexed="64"/>
      </right>
      <top style="thick">
        <color indexed="64"/>
      </top>
      <bottom/>
      <diagonal/>
    </border>
    <border>
      <left style="thin">
        <color indexed="64"/>
      </left>
      <right style="thick">
        <color indexed="64"/>
      </right>
      <top/>
      <bottom/>
      <diagonal/>
    </border>
    <border>
      <left style="thick">
        <color indexed="64"/>
      </left>
      <right/>
      <top style="thin">
        <color indexed="64"/>
      </top>
      <bottom/>
      <diagonal/>
    </border>
    <border>
      <left/>
      <right style="thick">
        <color indexed="64"/>
      </right>
      <top style="thin">
        <color indexed="64"/>
      </top>
      <bottom/>
      <diagonal/>
    </border>
    <border>
      <left/>
      <right style="thick">
        <color indexed="64"/>
      </right>
      <top/>
      <bottom style="thin">
        <color indexed="64"/>
      </bottom>
      <diagonal/>
    </border>
    <border>
      <left style="thin">
        <color indexed="64"/>
      </left>
      <right/>
      <top style="thick">
        <color indexed="64"/>
      </top>
      <bottom/>
      <diagonal/>
    </border>
    <border>
      <left/>
      <right style="thin">
        <color indexed="64"/>
      </right>
      <top style="thick">
        <color indexed="64"/>
      </top>
      <bottom/>
      <diagonal/>
    </border>
    <border>
      <left/>
      <right/>
      <top style="double">
        <color indexed="64"/>
      </top>
      <bottom/>
      <diagonal/>
    </border>
    <border>
      <left/>
      <right style="medium">
        <color indexed="64"/>
      </right>
      <top style="medium">
        <color indexed="64"/>
      </top>
      <bottom/>
      <diagonal/>
    </border>
    <border>
      <left style="thick">
        <color indexed="64"/>
      </left>
      <right/>
      <top/>
      <bottom style="mediumDashed">
        <color indexed="64"/>
      </bottom>
      <diagonal/>
    </border>
    <border>
      <left/>
      <right/>
      <top/>
      <bottom style="mediumDashed">
        <color indexed="64"/>
      </bottom>
      <diagonal/>
    </border>
    <border>
      <left style="mediumDashed">
        <color indexed="64"/>
      </left>
      <right/>
      <top/>
      <bottom style="mediumDashed">
        <color indexed="64"/>
      </bottom>
      <diagonal/>
    </border>
    <border>
      <left/>
      <right style="mediumDashed">
        <color indexed="64"/>
      </right>
      <top/>
      <bottom style="mediumDashed">
        <color indexed="64"/>
      </bottom>
      <diagonal/>
    </border>
    <border>
      <left style="mediumDashed">
        <color indexed="64"/>
      </left>
      <right/>
      <top style="mediumDashed">
        <color indexed="64"/>
      </top>
      <bottom/>
      <diagonal/>
    </border>
    <border>
      <left/>
      <right style="mediumDashed">
        <color indexed="64"/>
      </right>
      <top style="mediumDashed">
        <color indexed="64"/>
      </top>
      <bottom/>
      <diagonal/>
    </border>
    <border>
      <left/>
      <right style="mediumDashed">
        <color indexed="64"/>
      </right>
      <top/>
      <bottom/>
      <diagonal/>
    </border>
    <border>
      <left style="mediumDashed">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Dashed">
        <color indexed="64"/>
      </left>
      <right style="mediumDashed">
        <color indexed="64"/>
      </right>
      <top style="mediumDashed">
        <color indexed="64"/>
      </top>
      <bottom style="mediumDashed">
        <color indexed="64"/>
      </bottom>
      <diagonal/>
    </border>
    <border>
      <left style="thick">
        <color indexed="64"/>
      </left>
      <right style="thick">
        <color indexed="64"/>
      </right>
      <top style="thick">
        <color indexed="64"/>
      </top>
      <bottom style="mediumDashed">
        <color indexed="64"/>
      </bottom>
      <diagonal/>
    </border>
    <border>
      <left style="thick">
        <color indexed="64"/>
      </left>
      <right style="thick">
        <color indexed="64"/>
      </right>
      <top style="mediumDashed">
        <color indexed="64"/>
      </top>
      <bottom style="thick">
        <color indexed="64"/>
      </bottom>
      <diagonal/>
    </border>
    <border>
      <left/>
      <right style="mediumDashed">
        <color indexed="64"/>
      </right>
      <top style="mediumDashed">
        <color indexed="64"/>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
      <left style="medium">
        <color indexed="64"/>
      </left>
      <right style="thin">
        <color indexed="64"/>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Dashed">
        <color indexed="64"/>
      </top>
      <bottom/>
      <diagonal/>
    </border>
    <border>
      <left style="thick">
        <color indexed="64"/>
      </left>
      <right/>
      <top style="mediumDashed">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double">
        <color indexed="64"/>
      </bottom>
      <diagonal/>
    </border>
  </borders>
  <cellStyleXfs count="1489">
    <xf numFmtId="0" fontId="0" fillId="0" borderId="0"/>
    <xf numFmtId="165" fontId="9" fillId="0" borderId="0" applyFont="0" applyFill="0" applyBorder="0" applyAlignment="0" applyProtection="0"/>
    <xf numFmtId="0" fontId="80" fillId="2" borderId="0" applyFill="0" applyBorder="0" applyProtection="0">
      <alignment horizontal="left" vertical="center"/>
    </xf>
    <xf numFmtId="0" fontId="10" fillId="0" borderId="0" applyNumberFormat="0" applyFill="0" applyBorder="0" applyAlignment="0" applyProtection="0">
      <alignment vertical="top"/>
      <protection locked="0"/>
    </xf>
    <xf numFmtId="0" fontId="79" fillId="0" borderId="0"/>
    <xf numFmtId="0" fontId="65" fillId="0" borderId="0"/>
    <xf numFmtId="0" fontId="16" fillId="0" borderId="0"/>
    <xf numFmtId="9" fontId="9" fillId="0" borderId="0" applyFont="0" applyFill="0" applyBorder="0" applyAlignment="0" applyProtection="0"/>
    <xf numFmtId="9" fontId="62" fillId="0" borderId="0" applyFont="0" applyFill="0" applyBorder="0" applyAlignment="0" applyProtection="0"/>
    <xf numFmtId="9" fontId="16" fillId="0" borderId="0" applyFont="0" applyFill="0" applyBorder="0" applyAlignment="0" applyProtection="0"/>
    <xf numFmtId="0" fontId="84" fillId="3" borderId="0" applyFill="0" applyBorder="0" applyProtection="0">
      <alignment horizontal="center" vertical="center"/>
    </xf>
    <xf numFmtId="0" fontId="9" fillId="0" borderId="0"/>
    <xf numFmtId="0" fontId="8"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9" fillId="0" borderId="0"/>
    <xf numFmtId="0" fontId="8"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124" fillId="0" borderId="0" applyNumberFormat="0" applyFill="0" applyBorder="0" applyAlignment="0" applyProtection="0"/>
    <xf numFmtId="0" fontId="2" fillId="0" borderId="0"/>
  </cellStyleXfs>
  <cellXfs count="2254">
    <xf numFmtId="0" fontId="0" fillId="0" borderId="0" xfId="0"/>
    <xf numFmtId="0" fontId="12" fillId="3" borderId="0" xfId="0" applyFont="1" applyFill="1" applyAlignment="1">
      <alignment horizontal="left"/>
    </xf>
    <xf numFmtId="166" fontId="13" fillId="3" borderId="0" xfId="0" applyNumberFormat="1" applyFont="1" applyFill="1"/>
    <xf numFmtId="167" fontId="13" fillId="3" borderId="0" xfId="0" applyNumberFormat="1" applyFont="1" applyFill="1" applyAlignment="1">
      <alignment horizontal="center"/>
    </xf>
    <xf numFmtId="167" fontId="13" fillId="3" borderId="0" xfId="0" applyNumberFormat="1" applyFont="1" applyFill="1"/>
    <xf numFmtId="0" fontId="13" fillId="3" borderId="0" xfId="0" applyFont="1" applyFill="1" applyAlignment="1">
      <alignment horizontal="center"/>
    </xf>
    <xf numFmtId="1" fontId="13" fillId="3" borderId="0" xfId="0" applyNumberFormat="1" applyFont="1" applyFill="1"/>
    <xf numFmtId="0" fontId="13" fillId="3" borderId="0" xfId="0" applyFont="1" applyFill="1"/>
    <xf numFmtId="0" fontId="14" fillId="3" borderId="0" xfId="0" applyFont="1" applyFill="1" applyAlignment="1">
      <alignment horizontal="center"/>
    </xf>
    <xf numFmtId="0" fontId="13" fillId="3" borderId="0" xfId="0" applyFont="1" applyFill="1" applyAlignment="1">
      <alignment horizontal="centerContinuous"/>
    </xf>
    <xf numFmtId="0" fontId="14" fillId="3" borderId="0" xfId="0" applyFont="1" applyFill="1" applyAlignment="1">
      <alignment horizontal="left"/>
    </xf>
    <xf numFmtId="0" fontId="13" fillId="0" borderId="0" xfId="0" applyFont="1" applyAlignment="1">
      <alignment horizontal="center"/>
    </xf>
    <xf numFmtId="1" fontId="13" fillId="0" borderId="0" xfId="0" applyNumberFormat="1" applyFont="1"/>
    <xf numFmtId="167" fontId="13" fillId="0" borderId="0" xfId="0" applyNumberFormat="1" applyFont="1" applyAlignment="1">
      <alignment horizontal="center"/>
    </xf>
    <xf numFmtId="0" fontId="13" fillId="0" borderId="0" xfId="0" applyFont="1"/>
    <xf numFmtId="0" fontId="14" fillId="0" borderId="0" xfId="0" applyFont="1" applyAlignment="1">
      <alignment horizontal="center"/>
    </xf>
    <xf numFmtId="0" fontId="13" fillId="0" borderId="0" xfId="0" applyFont="1" applyAlignment="1">
      <alignment horizontal="centerContinuous"/>
    </xf>
    <xf numFmtId="0" fontId="12" fillId="3" borderId="0" xfId="0" applyFont="1" applyFill="1"/>
    <xf numFmtId="0" fontId="0" fillId="3" borderId="0" xfId="0" applyFill="1"/>
    <xf numFmtId="0" fontId="15" fillId="0" borderId="0" xfId="0" applyFont="1" applyAlignment="1">
      <alignment horizontal="centerContinuous"/>
    </xf>
    <xf numFmtId="0" fontId="17" fillId="0" borderId="0" xfId="0" applyFont="1" applyAlignment="1">
      <alignment horizontal="center"/>
    </xf>
    <xf numFmtId="14" fontId="15" fillId="0" borderId="0" xfId="0" applyNumberFormat="1" applyFont="1" applyAlignment="1" applyProtection="1">
      <alignment horizontal="left"/>
      <protection locked="0"/>
    </xf>
    <xf numFmtId="0" fontId="0" fillId="0" borderId="0" xfId="0" applyAlignment="1">
      <alignment horizontal="centerContinuous"/>
    </xf>
    <xf numFmtId="0" fontId="18" fillId="0" borderId="0" xfId="0" applyFont="1" applyAlignment="1">
      <alignment horizontal="centerContinuous"/>
    </xf>
    <xf numFmtId="166" fontId="18" fillId="0" borderId="0" xfId="0" applyNumberFormat="1" applyFont="1" applyAlignment="1">
      <alignment horizontal="centerContinuous"/>
    </xf>
    <xf numFmtId="167" fontId="18" fillId="0" borderId="0" xfId="0" applyNumberFormat="1" applyFont="1" applyAlignment="1">
      <alignment horizontal="center"/>
    </xf>
    <xf numFmtId="0" fontId="18" fillId="0" borderId="0" xfId="0" applyFont="1"/>
    <xf numFmtId="167" fontId="18" fillId="0" borderId="0" xfId="0" applyNumberFormat="1" applyFont="1" applyAlignment="1">
      <alignment horizontal="centerContinuous"/>
    </xf>
    <xf numFmtId="0" fontId="18" fillId="0" borderId="0" xfId="0" applyFont="1" applyAlignment="1">
      <alignment horizontal="center"/>
    </xf>
    <xf numFmtId="1" fontId="19" fillId="0" borderId="0" xfId="0" applyNumberFormat="1" applyFont="1" applyAlignment="1">
      <alignment horizontal="centerContinuous"/>
    </xf>
    <xf numFmtId="0" fontId="15" fillId="0" borderId="0" xfId="0" applyFont="1" applyAlignment="1" applyProtection="1">
      <alignment horizontal="left"/>
      <protection locked="0"/>
    </xf>
    <xf numFmtId="1" fontId="20" fillId="0" borderId="0" xfId="0" applyNumberFormat="1" applyFont="1"/>
    <xf numFmtId="1" fontId="18" fillId="0" borderId="0" xfId="0" applyNumberFormat="1" applyFont="1" applyAlignment="1">
      <alignment horizontal="centerContinuous"/>
    </xf>
    <xf numFmtId="166" fontId="0" fillId="0" borderId="0" xfId="0" applyNumberFormat="1"/>
    <xf numFmtId="1" fontId="12" fillId="4" borderId="3" xfId="0" applyNumberFormat="1" applyFont="1" applyFill="1" applyBorder="1" applyAlignment="1" applyProtection="1">
      <alignment horizontal="right"/>
      <protection locked="0"/>
    </xf>
    <xf numFmtId="0" fontId="0" fillId="0" borderId="0" xfId="0" applyAlignment="1">
      <alignment horizontal="left"/>
    </xf>
    <xf numFmtId="1" fontId="0" fillId="0" borderId="0" xfId="0" applyNumberFormat="1"/>
    <xf numFmtId="167" fontId="0" fillId="0" borderId="0" xfId="0" applyNumberFormat="1" applyAlignment="1">
      <alignment horizontal="center"/>
    </xf>
    <xf numFmtId="2" fontId="0" fillId="0" borderId="0" xfId="0" applyNumberFormat="1"/>
    <xf numFmtId="0" fontId="12" fillId="0" borderId="0" xfId="0" applyFont="1" applyAlignment="1">
      <alignment horizontal="left"/>
    </xf>
    <xf numFmtId="0" fontId="21" fillId="0" borderId="0" xfId="0" applyFont="1" applyAlignment="1">
      <alignment horizontal="left"/>
    </xf>
    <xf numFmtId="0" fontId="16" fillId="0" borderId="0" xfId="0" applyFont="1"/>
    <xf numFmtId="0" fontId="21" fillId="0" borderId="4" xfId="0" applyFont="1" applyBorder="1" applyAlignment="1">
      <alignment horizontal="left"/>
    </xf>
    <xf numFmtId="0" fontId="0" fillId="0" borderId="5" xfId="0" applyBorder="1"/>
    <xf numFmtId="0" fontId="0" fillId="0" borderId="6" xfId="0" applyBorder="1"/>
    <xf numFmtId="0" fontId="0" fillId="0" borderId="7" xfId="0" applyBorder="1"/>
    <xf numFmtId="166" fontId="0" fillId="0" borderId="0" xfId="0" applyNumberFormat="1" applyAlignment="1">
      <alignment horizontal="right"/>
    </xf>
    <xf numFmtId="0" fontId="0" fillId="0" borderId="0" xfId="0" quotePrefix="1" applyAlignment="1">
      <alignment horizontal="center"/>
    </xf>
    <xf numFmtId="166" fontId="25" fillId="0" borderId="8" xfId="0" applyNumberFormat="1" applyFont="1" applyBorder="1" applyAlignment="1">
      <alignment horizontal="center"/>
    </xf>
    <xf numFmtId="1" fontId="27" fillId="0" borderId="0" xfId="0" applyNumberFormat="1" applyFont="1" applyAlignment="1">
      <alignment horizontal="left"/>
    </xf>
    <xf numFmtId="0" fontId="0" fillId="0" borderId="4" xfId="0" applyBorder="1"/>
    <xf numFmtId="0" fontId="0" fillId="0" borderId="0" xfId="0" applyAlignment="1">
      <alignment horizontal="center"/>
    </xf>
    <xf numFmtId="167" fontId="0" fillId="0" borderId="0" xfId="0" quotePrefix="1" applyNumberFormat="1" applyAlignment="1">
      <alignment horizontal="center"/>
    </xf>
    <xf numFmtId="167" fontId="0" fillId="0" borderId="0" xfId="0" applyNumberFormat="1"/>
    <xf numFmtId="0" fontId="0" fillId="2" borderId="0" xfId="0" applyFill="1" applyAlignment="1">
      <alignment horizontal="right"/>
    </xf>
    <xf numFmtId="0" fontId="29" fillId="0" borderId="0" xfId="0" applyFont="1" applyAlignment="1">
      <alignment horizontal="left"/>
    </xf>
    <xf numFmtId="0" fontId="12" fillId="5" borderId="0" xfId="0" applyFont="1" applyFill="1"/>
    <xf numFmtId="166" fontId="0" fillId="5" borderId="0" xfId="0" applyNumberFormat="1" applyFill="1" applyAlignment="1">
      <alignment horizontal="right"/>
    </xf>
    <xf numFmtId="167" fontId="0" fillId="5" borderId="0" xfId="0" applyNumberFormat="1" applyFill="1" applyAlignment="1">
      <alignment horizontal="center"/>
    </xf>
    <xf numFmtId="167" fontId="0" fillId="5" borderId="0" xfId="0" applyNumberFormat="1" applyFill="1"/>
    <xf numFmtId="0" fontId="0" fillId="5" borderId="0" xfId="0" applyFill="1" applyAlignment="1">
      <alignment horizontal="center"/>
    </xf>
    <xf numFmtId="0" fontId="0" fillId="5" borderId="0" xfId="0" applyFill="1"/>
    <xf numFmtId="2" fontId="0" fillId="5" borderId="0" xfId="0" applyNumberFormat="1" applyFill="1"/>
    <xf numFmtId="0" fontId="0" fillId="5" borderId="0" xfId="0" applyFill="1" applyAlignment="1">
      <alignment horizontal="centerContinuous"/>
    </xf>
    <xf numFmtId="0" fontId="0" fillId="2" borderId="0" xfId="0" applyFill="1"/>
    <xf numFmtId="0" fontId="12" fillId="2" borderId="0" xfId="0" applyFont="1" applyFill="1"/>
    <xf numFmtId="0" fontId="0" fillId="0" borderId="2" xfId="0" applyBorder="1" applyAlignment="1">
      <alignment horizontal="center"/>
    </xf>
    <xf numFmtId="166" fontId="0" fillId="0" borderId="2" xfId="0" applyNumberFormat="1" applyBorder="1" applyAlignment="1">
      <alignment horizontal="center"/>
    </xf>
    <xf numFmtId="167" fontId="0" fillId="0" borderId="2" xfId="0" applyNumberFormat="1" applyBorder="1" applyAlignment="1">
      <alignment horizontal="center"/>
    </xf>
    <xf numFmtId="2" fontId="0" fillId="0" borderId="2" xfId="0" applyNumberFormat="1" applyBorder="1" applyAlignment="1">
      <alignment horizontal="center"/>
    </xf>
    <xf numFmtId="2" fontId="0" fillId="0" borderId="0" xfId="0" applyNumberFormat="1" applyAlignment="1">
      <alignment horizontal="center"/>
    </xf>
    <xf numFmtId="0" fontId="27" fillId="0" borderId="0" xfId="0" applyFont="1" applyAlignment="1">
      <alignment horizontal="center"/>
    </xf>
    <xf numFmtId="1" fontId="0" fillId="0" borderId="0" xfId="0" applyNumberFormat="1" applyAlignment="1">
      <alignment horizontal="centerContinuous"/>
    </xf>
    <xf numFmtId="2" fontId="27" fillId="0" borderId="0" xfId="0" applyNumberFormat="1" applyFont="1" applyAlignment="1">
      <alignment horizontal="center"/>
    </xf>
    <xf numFmtId="9" fontId="12" fillId="4" borderId="2" xfId="7" applyFont="1" applyFill="1" applyBorder="1" applyAlignment="1" applyProtection="1">
      <alignment horizontal="center"/>
      <protection locked="0"/>
    </xf>
    <xf numFmtId="166" fontId="30" fillId="0" borderId="0" xfId="0" applyNumberFormat="1" applyFont="1" applyAlignment="1">
      <alignment horizontal="center"/>
    </xf>
    <xf numFmtId="166" fontId="12" fillId="0" borderId="0" xfId="0" applyNumberFormat="1" applyFont="1" applyAlignment="1">
      <alignment horizontal="right"/>
    </xf>
    <xf numFmtId="2" fontId="31" fillId="0" borderId="0" xfId="0" applyNumberFormat="1" applyFont="1" applyAlignment="1">
      <alignment horizontal="center"/>
    </xf>
    <xf numFmtId="2" fontId="30" fillId="0" borderId="3" xfId="0" applyNumberFormat="1" applyFont="1" applyBorder="1" applyAlignment="1">
      <alignment horizontal="center"/>
    </xf>
    <xf numFmtId="166" fontId="0" fillId="5" borderId="0" xfId="0" applyNumberFormat="1" applyFill="1"/>
    <xf numFmtId="0" fontId="27" fillId="5" borderId="0" xfId="0" applyFont="1" applyFill="1" applyAlignment="1">
      <alignment horizontal="centerContinuous"/>
    </xf>
    <xf numFmtId="0" fontId="27" fillId="5" borderId="0" xfId="0" applyFont="1" applyFill="1" applyAlignment="1">
      <alignment horizontal="center"/>
    </xf>
    <xf numFmtId="0" fontId="27" fillId="5" borderId="0" xfId="0" applyFont="1" applyFill="1"/>
    <xf numFmtId="2" fontId="27" fillId="5" borderId="0" xfId="0" applyNumberFormat="1" applyFont="1" applyFill="1" applyAlignment="1">
      <alignment horizontal="center"/>
    </xf>
    <xf numFmtId="166" fontId="0" fillId="2" borderId="0" xfId="0" applyNumberFormat="1" applyFill="1"/>
    <xf numFmtId="167" fontId="0" fillId="2" borderId="0" xfId="0" applyNumberFormat="1" applyFill="1" applyAlignment="1">
      <alignment horizontal="center"/>
    </xf>
    <xf numFmtId="0" fontId="0" fillId="2" borderId="0" xfId="0" applyFill="1" applyAlignment="1">
      <alignment horizontal="center"/>
    </xf>
    <xf numFmtId="0" fontId="27" fillId="2" borderId="0" xfId="0" applyFont="1" applyFill="1"/>
    <xf numFmtId="2" fontId="27" fillId="2" borderId="0" xfId="0" applyNumberFormat="1" applyFont="1" applyFill="1" applyAlignment="1">
      <alignment horizontal="center"/>
    </xf>
    <xf numFmtId="2" fontId="0" fillId="2" borderId="0" xfId="0" applyNumberFormat="1" applyFill="1"/>
    <xf numFmtId="166" fontId="0" fillId="6" borderId="0" xfId="0" applyNumberFormat="1" applyFill="1"/>
    <xf numFmtId="167" fontId="0" fillId="6" borderId="0" xfId="0" applyNumberFormat="1" applyFill="1" applyAlignment="1">
      <alignment horizontal="center"/>
    </xf>
    <xf numFmtId="0" fontId="27" fillId="6" borderId="0" xfId="0" applyFont="1" applyFill="1" applyAlignment="1">
      <alignment horizontal="centerContinuous"/>
    </xf>
    <xf numFmtId="0" fontId="0" fillId="6" borderId="0" xfId="0" applyFill="1" applyAlignment="1">
      <alignment horizontal="center"/>
    </xf>
    <xf numFmtId="0" fontId="27" fillId="6" borderId="0" xfId="0" applyFont="1" applyFill="1" applyAlignment="1">
      <alignment horizontal="center"/>
    </xf>
    <xf numFmtId="0" fontId="27" fillId="6" borderId="0" xfId="0" applyFont="1" applyFill="1"/>
    <xf numFmtId="2" fontId="27" fillId="6" borderId="0" xfId="0" applyNumberFormat="1" applyFont="1" applyFill="1" applyAlignment="1">
      <alignment horizontal="center"/>
    </xf>
    <xf numFmtId="0" fontId="0" fillId="6" borderId="0" xfId="0" applyFill="1"/>
    <xf numFmtId="0" fontId="12" fillId="0" borderId="0" xfId="0" applyFont="1"/>
    <xf numFmtId="170" fontId="0" fillId="0" borderId="2" xfId="0" applyNumberFormat="1" applyBorder="1" applyAlignment="1">
      <alignment horizontal="center"/>
    </xf>
    <xf numFmtId="166" fontId="30" fillId="0" borderId="0" xfId="0" applyNumberFormat="1" applyFont="1" applyAlignment="1">
      <alignment horizontal="left"/>
    </xf>
    <xf numFmtId="0" fontId="27" fillId="0" borderId="0" xfId="0" applyFont="1" applyAlignment="1">
      <alignment horizontal="centerContinuous"/>
    </xf>
    <xf numFmtId="166" fontId="32" fillId="0" borderId="0" xfId="0" applyNumberFormat="1" applyFont="1" applyAlignment="1">
      <alignment horizontal="left"/>
    </xf>
    <xf numFmtId="0" fontId="0" fillId="0" borderId="0" xfId="0" applyAlignment="1">
      <alignment horizontal="right"/>
    </xf>
    <xf numFmtId="0" fontId="0" fillId="0" borderId="0" xfId="0" quotePrefix="1" applyAlignment="1">
      <alignment horizontal="right"/>
    </xf>
    <xf numFmtId="167" fontId="12" fillId="0" borderId="3" xfId="0" applyNumberFormat="1" applyFont="1" applyBorder="1" applyAlignment="1">
      <alignment horizontal="center"/>
    </xf>
    <xf numFmtId="2" fontId="12" fillId="0" borderId="3" xfId="0" applyNumberFormat="1" applyFont="1" applyBorder="1" applyAlignment="1">
      <alignment horizontal="center"/>
    </xf>
    <xf numFmtId="2" fontId="12" fillId="0" borderId="0" xfId="0" applyNumberFormat="1" applyFont="1" applyAlignment="1">
      <alignment horizontal="center"/>
    </xf>
    <xf numFmtId="0" fontId="27" fillId="0" borderId="0" xfId="0" applyFont="1" applyAlignment="1">
      <alignment horizontal="left"/>
    </xf>
    <xf numFmtId="0" fontId="27" fillId="0" borderId="0" xfId="0" applyFont="1" applyAlignment="1">
      <alignment horizontal="right"/>
    </xf>
    <xf numFmtId="0" fontId="0" fillId="0" borderId="9" xfId="0" applyBorder="1"/>
    <xf numFmtId="167" fontId="12" fillId="0" borderId="10" xfId="0" applyNumberFormat="1" applyFont="1" applyBorder="1" applyAlignment="1">
      <alignment horizontal="center"/>
    </xf>
    <xf numFmtId="2" fontId="12" fillId="0" borderId="12" xfId="0" applyNumberFormat="1" applyFont="1" applyBorder="1" applyAlignment="1">
      <alignment horizontal="center"/>
    </xf>
    <xf numFmtId="0" fontId="33" fillId="0" borderId="0" xfId="0" applyFont="1" applyAlignment="1">
      <alignment horizontal="left"/>
    </xf>
    <xf numFmtId="0" fontId="27" fillId="0" borderId="13" xfId="0" applyFont="1" applyBorder="1" applyAlignment="1">
      <alignment horizontal="right"/>
    </xf>
    <xf numFmtId="0" fontId="27" fillId="0" borderId="11" xfId="0" applyFont="1" applyBorder="1" applyAlignment="1">
      <alignment horizontal="right"/>
    </xf>
    <xf numFmtId="0" fontId="12" fillId="0" borderId="0" xfId="0" applyFont="1" applyAlignment="1">
      <alignment horizontal="center"/>
    </xf>
    <xf numFmtId="0" fontId="0" fillId="0" borderId="14" xfId="0" applyBorder="1" applyAlignment="1">
      <alignment horizontal="right"/>
    </xf>
    <xf numFmtId="167" fontId="12" fillId="0" borderId="0" xfId="0" applyNumberFormat="1" applyFont="1"/>
    <xf numFmtId="1" fontId="31" fillId="0" borderId="0" xfId="0" applyNumberFormat="1" applyFont="1" applyAlignment="1">
      <alignment horizontal="right"/>
    </xf>
    <xf numFmtId="167" fontId="31" fillId="0" borderId="0" xfId="0" applyNumberFormat="1" applyFont="1" applyAlignment="1">
      <alignment horizontal="right"/>
    </xf>
    <xf numFmtId="0" fontId="12" fillId="4" borderId="0" xfId="0" applyFont="1" applyFill="1" applyAlignment="1" applyProtection="1">
      <alignment horizontal="center"/>
      <protection locked="0"/>
    </xf>
    <xf numFmtId="2" fontId="30" fillId="0" borderId="0" xfId="0" applyNumberFormat="1" applyFont="1" applyAlignment="1">
      <alignment horizontal="center"/>
    </xf>
    <xf numFmtId="2" fontId="12" fillId="0" borderId="0" xfId="0" quotePrefix="1" applyNumberFormat="1" applyFont="1" applyAlignment="1">
      <alignment horizontal="center"/>
    </xf>
    <xf numFmtId="0" fontId="12" fillId="0" borderId="0" xfId="0" applyFont="1" applyAlignment="1">
      <alignment horizontal="centerContinuous"/>
    </xf>
    <xf numFmtId="1" fontId="0" fillId="5" borderId="0" xfId="0" applyNumberFormat="1" applyFill="1"/>
    <xf numFmtId="167" fontId="0" fillId="5" borderId="0" xfId="0" applyNumberFormat="1" applyFill="1" applyAlignment="1">
      <alignment horizontal="right"/>
    </xf>
    <xf numFmtId="167" fontId="0" fillId="2" borderId="0" xfId="0" applyNumberFormat="1" applyFill="1" applyAlignment="1">
      <alignment horizontal="right"/>
    </xf>
    <xf numFmtId="1" fontId="0" fillId="2" borderId="0" xfId="0" applyNumberFormat="1" applyFill="1"/>
    <xf numFmtId="167" fontId="0" fillId="2" borderId="0" xfId="0" applyNumberFormat="1" applyFill="1"/>
    <xf numFmtId="0" fontId="12" fillId="0" borderId="0" xfId="0" applyFont="1" applyAlignment="1">
      <alignment horizontal="right"/>
    </xf>
    <xf numFmtId="166" fontId="32" fillId="0" borderId="0" xfId="0" quotePrefix="1" applyNumberFormat="1" applyFont="1" applyAlignment="1">
      <alignment horizontal="right"/>
    </xf>
    <xf numFmtId="168" fontId="0" fillId="0" borderId="2" xfId="0" applyNumberFormat="1" applyBorder="1" applyAlignment="1">
      <alignment horizontal="center"/>
    </xf>
    <xf numFmtId="167" fontId="12" fillId="0" borderId="3" xfId="0" quotePrefix="1" applyNumberFormat="1" applyFont="1" applyBorder="1" applyAlignment="1">
      <alignment horizontal="center"/>
    </xf>
    <xf numFmtId="166" fontId="30" fillId="0" borderId="0" xfId="0" applyNumberFormat="1" applyFont="1" applyAlignment="1">
      <alignment horizontal="right"/>
    </xf>
    <xf numFmtId="2" fontId="12" fillId="0" borderId="3" xfId="0" quotePrefix="1" applyNumberFormat="1" applyFont="1" applyBorder="1" applyAlignment="1">
      <alignment horizontal="center"/>
    </xf>
    <xf numFmtId="10" fontId="27" fillId="0" borderId="0" xfId="0" quotePrefix="1" applyNumberFormat="1" applyFont="1" applyAlignment="1">
      <alignment horizontal="centerContinuous"/>
    </xf>
    <xf numFmtId="2" fontId="27" fillId="0" borderId="0" xfId="0" applyNumberFormat="1" applyFont="1" applyAlignment="1">
      <alignment horizontal="left"/>
    </xf>
    <xf numFmtId="166" fontId="32" fillId="0" borderId="0" xfId="0" applyNumberFormat="1" applyFont="1" applyAlignment="1">
      <alignment horizontal="right"/>
    </xf>
    <xf numFmtId="0" fontId="36" fillId="0" borderId="0" xfId="0" applyFont="1" applyAlignment="1">
      <alignment horizontal="center"/>
    </xf>
    <xf numFmtId="0" fontId="28" fillId="0" borderId="0" xfId="0" applyFont="1" applyAlignment="1">
      <alignment horizontal="center"/>
    </xf>
    <xf numFmtId="9" fontId="0" fillId="0" borderId="0" xfId="0" applyNumberFormat="1"/>
    <xf numFmtId="166" fontId="0" fillId="0" borderId="0" xfId="0" applyNumberFormat="1" applyAlignment="1">
      <alignment horizontal="center"/>
    </xf>
    <xf numFmtId="10" fontId="27" fillId="0" borderId="0" xfId="0" applyNumberFormat="1" applyFont="1" applyAlignment="1">
      <alignment horizontal="centerContinuous"/>
    </xf>
    <xf numFmtId="167" fontId="0" fillId="0" borderId="0" xfId="0" applyNumberFormat="1" applyAlignment="1">
      <alignment horizontal="right"/>
    </xf>
    <xf numFmtId="0" fontId="34" fillId="0" borderId="0" xfId="0" applyFont="1" applyAlignment="1">
      <alignment horizontal="center"/>
    </xf>
    <xf numFmtId="2" fontId="12" fillId="4" borderId="0" xfId="0" applyNumberFormat="1" applyFont="1" applyFill="1" applyAlignment="1" applyProtection="1">
      <alignment horizontal="center"/>
      <protection locked="0"/>
    </xf>
    <xf numFmtId="0" fontId="17" fillId="2" borderId="0" xfId="0" applyFont="1" applyFill="1"/>
    <xf numFmtId="0" fontId="12" fillId="4" borderId="2" xfId="0" applyFont="1" applyFill="1" applyBorder="1" applyAlignment="1" applyProtection="1">
      <alignment horizontal="center"/>
      <protection locked="0"/>
    </xf>
    <xf numFmtId="0" fontId="0" fillId="2" borderId="0" xfId="0" quotePrefix="1" applyFill="1"/>
    <xf numFmtId="0" fontId="0" fillId="2" borderId="2" xfId="0" applyFill="1" applyBorder="1"/>
    <xf numFmtId="0" fontId="0" fillId="0" borderId="2" xfId="0" applyBorder="1"/>
    <xf numFmtId="167" fontId="12" fillId="0" borderId="2" xfId="0" applyNumberFormat="1" applyFont="1" applyBorder="1" applyAlignment="1">
      <alignment horizontal="center"/>
    </xf>
    <xf numFmtId="167" fontId="12" fillId="0" borderId="15" xfId="0" applyNumberFormat="1" applyFont="1" applyBorder="1" applyAlignment="1">
      <alignment horizontal="centerContinuous"/>
    </xf>
    <xf numFmtId="169" fontId="12" fillId="0" borderId="16" xfId="0" applyNumberFormat="1" applyFont="1" applyBorder="1" applyAlignment="1">
      <alignment horizontal="centerContinuous"/>
    </xf>
    <xf numFmtId="166" fontId="12" fillId="0" borderId="0" xfId="0" applyNumberFormat="1" applyFont="1" applyAlignment="1">
      <alignment horizontal="left"/>
    </xf>
    <xf numFmtId="9" fontId="37" fillId="4" borderId="2" xfId="7" applyFont="1" applyFill="1" applyBorder="1" applyAlignment="1" applyProtection="1">
      <alignment horizontal="center"/>
      <protection locked="0"/>
    </xf>
    <xf numFmtId="0" fontId="27" fillId="0" borderId="16" xfId="0" applyFont="1" applyBorder="1"/>
    <xf numFmtId="0" fontId="34" fillId="0" borderId="0" xfId="0" applyFont="1" applyAlignment="1">
      <alignment horizontal="right"/>
    </xf>
    <xf numFmtId="0" fontId="38" fillId="0" borderId="0" xfId="0" applyFont="1" applyAlignment="1">
      <alignment horizontal="right"/>
    </xf>
    <xf numFmtId="168" fontId="30" fillId="0" borderId="0" xfId="0" quotePrefix="1" applyNumberFormat="1" applyFont="1" applyAlignment="1">
      <alignment horizontal="right"/>
    </xf>
    <xf numFmtId="0" fontId="0" fillId="0" borderId="0" xfId="0" applyProtection="1">
      <protection hidden="1"/>
    </xf>
    <xf numFmtId="0" fontId="0" fillId="6" borderId="0" xfId="0" applyFill="1" applyProtection="1">
      <protection hidden="1"/>
    </xf>
    <xf numFmtId="0" fontId="0" fillId="6" borderId="0" xfId="0" applyFill="1" applyAlignment="1" applyProtection="1">
      <alignment horizontal="centerContinuous"/>
      <protection hidden="1"/>
    </xf>
    <xf numFmtId="0" fontId="0" fillId="6" borderId="0" xfId="0" applyFill="1" applyAlignment="1" applyProtection="1">
      <alignment horizontal="center"/>
      <protection hidden="1"/>
    </xf>
    <xf numFmtId="0" fontId="15" fillId="6" borderId="0" xfId="0" applyFont="1" applyFill="1" applyProtection="1">
      <protection hidden="1"/>
    </xf>
    <xf numFmtId="0" fontId="0" fillId="0" borderId="0" xfId="0" applyAlignment="1" applyProtection="1">
      <alignment horizontal="left"/>
      <protection hidden="1"/>
    </xf>
    <xf numFmtId="0" fontId="23" fillId="6" borderId="0" xfId="0" applyFont="1" applyFill="1" applyAlignment="1" applyProtection="1">
      <alignment horizontal="left"/>
      <protection hidden="1"/>
    </xf>
    <xf numFmtId="0" fontId="12" fillId="6" borderId="0" xfId="0" applyFont="1" applyFill="1" applyAlignment="1" applyProtection="1">
      <alignment horizontal="center"/>
      <protection hidden="1"/>
    </xf>
    <xf numFmtId="0" fontId="30" fillId="6" borderId="0" xfId="0" applyFont="1" applyFill="1" applyAlignment="1" applyProtection="1">
      <alignment horizontal="center"/>
      <protection hidden="1"/>
    </xf>
    <xf numFmtId="0" fontId="30" fillId="0" borderId="0" xfId="0" applyFont="1" applyAlignment="1" applyProtection="1">
      <alignment horizontal="center"/>
      <protection hidden="1"/>
    </xf>
    <xf numFmtId="0" fontId="31" fillId="6" borderId="0" xfId="0" applyFont="1" applyFill="1" applyAlignment="1" applyProtection="1">
      <alignment horizontal="left"/>
      <protection hidden="1"/>
    </xf>
    <xf numFmtId="0" fontId="0" fillId="6" borderId="0" xfId="0" quotePrefix="1" applyFill="1" applyAlignment="1" applyProtection="1">
      <alignment horizontal="center"/>
      <protection hidden="1"/>
    </xf>
    <xf numFmtId="0" fontId="41" fillId="6" borderId="0" xfId="0" applyFont="1" applyFill="1" applyProtection="1">
      <protection hidden="1"/>
    </xf>
    <xf numFmtId="0" fontId="21" fillId="6" borderId="16" xfId="0" applyFont="1" applyFill="1" applyBorder="1" applyAlignment="1" applyProtection="1">
      <alignment horizontal="centerContinuous"/>
      <protection hidden="1"/>
    </xf>
    <xf numFmtId="0" fontId="0" fillId="6" borderId="18" xfId="0" applyFill="1" applyBorder="1" applyAlignment="1" applyProtection="1">
      <alignment horizontal="center"/>
      <protection hidden="1"/>
    </xf>
    <xf numFmtId="166" fontId="26" fillId="6" borderId="19" xfId="0" applyNumberFormat="1" applyFont="1" applyFill="1" applyBorder="1" applyAlignment="1" applyProtection="1">
      <alignment horizontal="center"/>
      <protection hidden="1"/>
    </xf>
    <xf numFmtId="167" fontId="42" fillId="6" borderId="0" xfId="0" applyNumberFormat="1" applyFont="1" applyFill="1" applyAlignment="1" applyProtection="1">
      <alignment horizontal="right"/>
      <protection hidden="1"/>
    </xf>
    <xf numFmtId="166" fontId="43" fillId="6" borderId="8" xfId="0" quotePrefix="1" applyNumberFormat="1" applyFont="1" applyFill="1" applyBorder="1" applyAlignment="1" applyProtection="1">
      <alignment horizontal="center"/>
      <protection hidden="1"/>
    </xf>
    <xf numFmtId="166" fontId="31" fillId="6" borderId="0" xfId="0" applyNumberFormat="1" applyFont="1" applyFill="1" applyAlignment="1" applyProtection="1">
      <alignment horizontal="center"/>
      <protection hidden="1"/>
    </xf>
    <xf numFmtId="167" fontId="0" fillId="6" borderId="0" xfId="0" applyNumberFormat="1" applyFill="1" applyAlignment="1" applyProtection="1">
      <alignment horizontal="center"/>
      <protection hidden="1"/>
    </xf>
    <xf numFmtId="0" fontId="34" fillId="6" borderId="0" xfId="0" applyFont="1" applyFill="1" applyProtection="1">
      <protection hidden="1"/>
    </xf>
    <xf numFmtId="0" fontId="0" fillId="6" borderId="0" xfId="0" applyFill="1" applyAlignment="1" applyProtection="1">
      <alignment horizontal="right"/>
      <protection hidden="1"/>
    </xf>
    <xf numFmtId="0" fontId="21" fillId="6" borderId="0" xfId="0" applyFont="1" applyFill="1" applyAlignment="1" applyProtection="1">
      <alignment horizontal="left"/>
      <protection hidden="1"/>
    </xf>
    <xf numFmtId="0" fontId="0" fillId="6" borderId="0" xfId="0" quotePrefix="1" applyFill="1" applyAlignment="1" applyProtection="1">
      <alignment horizontal="right"/>
      <protection hidden="1"/>
    </xf>
    <xf numFmtId="0" fontId="0" fillId="6" borderId="0" xfId="0" quotePrefix="1" applyFill="1" applyProtection="1">
      <protection hidden="1"/>
    </xf>
    <xf numFmtId="166" fontId="0" fillId="6" borderId="0" xfId="0" applyNumberFormat="1" applyFill="1" applyAlignment="1" applyProtection="1">
      <alignment horizontal="left"/>
      <protection hidden="1"/>
    </xf>
    <xf numFmtId="0" fontId="0" fillId="3" borderId="0" xfId="0" applyFill="1" applyProtection="1">
      <protection hidden="1"/>
    </xf>
    <xf numFmtId="0" fontId="0" fillId="2" borderId="0" xfId="0" applyFill="1" applyProtection="1">
      <protection hidden="1"/>
    </xf>
    <xf numFmtId="0" fontId="45" fillId="2" borderId="0" xfId="0" applyFont="1" applyFill="1" applyProtection="1">
      <protection hidden="1"/>
    </xf>
    <xf numFmtId="0" fontId="46" fillId="2" borderId="0" xfId="0" applyFont="1" applyFill="1" applyProtection="1">
      <protection hidden="1"/>
    </xf>
    <xf numFmtId="0" fontId="47" fillId="2" borderId="0" xfId="0" applyFont="1" applyFill="1" applyProtection="1">
      <protection hidden="1"/>
    </xf>
    <xf numFmtId="0" fontId="42" fillId="2" borderId="0" xfId="0" applyFont="1" applyFill="1" applyProtection="1">
      <protection hidden="1"/>
    </xf>
    <xf numFmtId="167" fontId="0" fillId="2" borderId="0" xfId="0" applyNumberFormat="1" applyFill="1" applyAlignment="1" applyProtection="1">
      <alignment horizontal="right"/>
      <protection hidden="1"/>
    </xf>
    <xf numFmtId="167" fontId="0" fillId="2" borderId="0" xfId="0" quotePrefix="1" applyNumberFormat="1" applyFill="1" applyAlignment="1" applyProtection="1">
      <alignment horizontal="right"/>
      <protection hidden="1"/>
    </xf>
    <xf numFmtId="1" fontId="23" fillId="2" borderId="3" xfId="0" applyNumberFormat="1" applyFont="1" applyFill="1" applyBorder="1" applyAlignment="1" applyProtection="1">
      <alignment horizontal="right"/>
      <protection hidden="1"/>
    </xf>
    <xf numFmtId="166" fontId="0" fillId="2" borderId="0" xfId="0" applyNumberFormat="1" applyFill="1" applyAlignment="1" applyProtection="1">
      <alignment horizontal="right"/>
      <protection hidden="1"/>
    </xf>
    <xf numFmtId="0" fontId="12" fillId="2" borderId="0" xfId="0" applyFont="1" applyFill="1" applyProtection="1">
      <protection hidden="1"/>
    </xf>
    <xf numFmtId="0" fontId="12" fillId="2" borderId="0" xfId="0" quotePrefix="1" applyFont="1" applyFill="1" applyProtection="1">
      <protection hidden="1"/>
    </xf>
    <xf numFmtId="0" fontId="0" fillId="2" borderId="0" xfId="0" quotePrefix="1" applyFill="1" applyProtection="1">
      <protection hidden="1"/>
    </xf>
    <xf numFmtId="0" fontId="0" fillId="2" borderId="0" xfId="0" quotePrefix="1" applyFill="1" applyAlignment="1" applyProtection="1">
      <alignment horizontal="left"/>
      <protection hidden="1"/>
    </xf>
    <xf numFmtId="0" fontId="0" fillId="2" borderId="0" xfId="0" applyFill="1" applyAlignment="1" applyProtection="1">
      <alignment horizontal="center"/>
      <protection hidden="1"/>
    </xf>
    <xf numFmtId="0" fontId="0" fillId="2" borderId="0" xfId="0" applyFill="1" applyAlignment="1" applyProtection="1">
      <alignment horizontal="right"/>
      <protection hidden="1"/>
    </xf>
    <xf numFmtId="0" fontId="27" fillId="2" borderId="0" xfId="0" applyFont="1" applyFill="1" applyProtection="1">
      <protection hidden="1"/>
    </xf>
    <xf numFmtId="4" fontId="23" fillId="2" borderId="0" xfId="0" applyNumberFormat="1" applyFont="1" applyFill="1" applyProtection="1">
      <protection hidden="1"/>
    </xf>
    <xf numFmtId="1" fontId="0" fillId="2" borderId="0" xfId="0" applyNumberFormat="1" applyFill="1" applyProtection="1">
      <protection hidden="1"/>
    </xf>
    <xf numFmtId="0" fontId="0" fillId="7" borderId="20" xfId="0" applyFill="1" applyBorder="1" applyAlignment="1" applyProtection="1">
      <alignment horizontal="center"/>
      <protection hidden="1"/>
    </xf>
    <xf numFmtId="0" fontId="0" fillId="2" borderId="20" xfId="0" applyFill="1" applyBorder="1" applyAlignment="1" applyProtection="1">
      <alignment horizontal="center"/>
      <protection hidden="1"/>
    </xf>
    <xf numFmtId="0" fontId="0" fillId="7" borderId="21" xfId="0" applyFill="1" applyBorder="1" applyAlignment="1" applyProtection="1">
      <alignment horizontal="center"/>
      <protection hidden="1"/>
    </xf>
    <xf numFmtId="0" fontId="0" fillId="2" borderId="22" xfId="0" applyFill="1" applyBorder="1" applyAlignment="1" applyProtection="1">
      <alignment horizontal="center"/>
      <protection hidden="1"/>
    </xf>
    <xf numFmtId="3" fontId="15" fillId="7" borderId="3" xfId="0" applyNumberFormat="1" applyFont="1" applyFill="1" applyBorder="1" applyAlignment="1" applyProtection="1">
      <alignment horizontal="center" vertical="center" wrapText="1"/>
      <protection hidden="1"/>
    </xf>
    <xf numFmtId="0" fontId="0" fillId="2" borderId="0" xfId="0" applyFill="1" applyAlignment="1" applyProtection="1">
      <alignment wrapText="1"/>
      <protection hidden="1"/>
    </xf>
    <xf numFmtId="0" fontId="13" fillId="3" borderId="0" xfId="0" applyFont="1" applyFill="1" applyProtection="1">
      <protection hidden="1"/>
    </xf>
    <xf numFmtId="0" fontId="16" fillId="2" borderId="0" xfId="0" applyFont="1" applyFill="1"/>
    <xf numFmtId="1" fontId="23" fillId="2" borderId="0" xfId="0" applyNumberFormat="1" applyFont="1" applyFill="1" applyProtection="1">
      <protection hidden="1"/>
    </xf>
    <xf numFmtId="0" fontId="0" fillId="2" borderId="2" xfId="0" applyFill="1" applyBorder="1" applyAlignment="1" applyProtection="1">
      <alignment horizontal="center"/>
      <protection hidden="1"/>
    </xf>
    <xf numFmtId="1" fontId="12" fillId="2" borderId="2" xfId="0" applyNumberFormat="1" applyFont="1" applyFill="1" applyBorder="1" applyAlignment="1" applyProtection="1">
      <alignment horizontal="center"/>
      <protection hidden="1"/>
    </xf>
    <xf numFmtId="0" fontId="0" fillId="2" borderId="2" xfId="0" quotePrefix="1" applyFill="1" applyBorder="1" applyAlignment="1" applyProtection="1">
      <alignment horizontal="center"/>
      <protection hidden="1"/>
    </xf>
    <xf numFmtId="0" fontId="0" fillId="2" borderId="23" xfId="0" applyFill="1" applyBorder="1" applyProtection="1">
      <protection hidden="1"/>
    </xf>
    <xf numFmtId="0" fontId="0" fillId="2" borderId="0" xfId="0" quotePrefix="1" applyFill="1" applyAlignment="1" applyProtection="1">
      <alignment horizontal="center"/>
      <protection hidden="1"/>
    </xf>
    <xf numFmtId="0" fontId="12" fillId="2" borderId="0" xfId="0" applyFont="1" applyFill="1" applyAlignment="1" applyProtection="1">
      <alignment horizontal="center"/>
      <protection hidden="1"/>
    </xf>
    <xf numFmtId="0" fontId="15" fillId="2" borderId="0" xfId="0" applyFont="1" applyFill="1" applyProtection="1">
      <protection hidden="1"/>
    </xf>
    <xf numFmtId="0" fontId="48" fillId="2" borderId="0" xfId="0" applyFont="1" applyFill="1" applyProtection="1">
      <protection hidden="1"/>
    </xf>
    <xf numFmtId="0" fontId="30" fillId="2" borderId="0" xfId="0" applyFont="1" applyFill="1" applyAlignment="1" applyProtection="1">
      <alignment horizontal="center"/>
      <protection hidden="1"/>
    </xf>
    <xf numFmtId="0" fontId="49" fillId="3" borderId="0" xfId="0" applyFont="1" applyFill="1" applyProtection="1">
      <protection hidden="1"/>
    </xf>
    <xf numFmtId="0" fontId="0" fillId="3" borderId="0" xfId="0" applyFill="1" applyAlignment="1" applyProtection="1">
      <alignment horizontal="center"/>
      <protection hidden="1"/>
    </xf>
    <xf numFmtId="0" fontId="48" fillId="3" borderId="0" xfId="0" applyFont="1" applyFill="1" applyProtection="1">
      <protection hidden="1"/>
    </xf>
    <xf numFmtId="0" fontId="13" fillId="2" borderId="0" xfId="0" applyFont="1" applyFill="1" applyProtection="1">
      <protection hidden="1"/>
    </xf>
    <xf numFmtId="1" fontId="0" fillId="2" borderId="2" xfId="0" applyNumberFormat="1" applyFill="1" applyBorder="1" applyAlignment="1" applyProtection="1">
      <alignment horizontal="center"/>
      <protection hidden="1"/>
    </xf>
    <xf numFmtId="0" fontId="12" fillId="2" borderId="0" xfId="0" applyFont="1" applyFill="1" applyAlignment="1" applyProtection="1">
      <alignment horizontal="right"/>
      <protection hidden="1"/>
    </xf>
    <xf numFmtId="0" fontId="0" fillId="2" borderId="0" xfId="0" quotePrefix="1" applyFill="1" applyAlignment="1" applyProtection="1">
      <alignment horizontal="right"/>
      <protection hidden="1"/>
    </xf>
    <xf numFmtId="1" fontId="12" fillId="2" borderId="0" xfId="0" applyNumberFormat="1" applyFont="1" applyFill="1" applyAlignment="1" applyProtection="1">
      <alignment horizontal="center"/>
      <protection hidden="1"/>
    </xf>
    <xf numFmtId="2" fontId="30" fillId="2" borderId="0" xfId="0" applyNumberFormat="1" applyFont="1" applyFill="1" applyAlignment="1" applyProtection="1">
      <alignment horizontal="center"/>
      <protection hidden="1"/>
    </xf>
    <xf numFmtId="0" fontId="51" fillId="0" borderId="0" xfId="0" applyFont="1" applyAlignment="1">
      <alignment horizontal="left" indent="1"/>
    </xf>
    <xf numFmtId="1" fontId="12" fillId="2" borderId="0" xfId="0" quotePrefix="1" applyNumberFormat="1" applyFont="1" applyFill="1" applyAlignment="1" applyProtection="1">
      <alignment horizontal="center"/>
      <protection hidden="1"/>
    </xf>
    <xf numFmtId="0" fontId="36" fillId="2" borderId="0" xfId="0" applyFont="1" applyFill="1" applyProtection="1">
      <protection hidden="1"/>
    </xf>
    <xf numFmtId="0" fontId="18" fillId="6" borderId="0" xfId="0" applyFont="1" applyFill="1" applyAlignment="1">
      <alignment horizontal="right"/>
    </xf>
    <xf numFmtId="167" fontId="30" fillId="0" borderId="0" xfId="0" applyNumberFormat="1" applyFont="1" applyAlignment="1">
      <alignment horizontal="center"/>
    </xf>
    <xf numFmtId="0" fontId="14" fillId="2" borderId="0" xfId="0" applyFont="1" applyFill="1" applyAlignment="1">
      <alignment horizontal="left"/>
    </xf>
    <xf numFmtId="1" fontId="23" fillId="2" borderId="0" xfId="0" applyNumberFormat="1" applyFont="1" applyFill="1"/>
    <xf numFmtId="0" fontId="27" fillId="2" borderId="0" xfId="0" applyFont="1" applyFill="1" applyAlignment="1">
      <alignment horizontal="right"/>
    </xf>
    <xf numFmtId="0" fontId="15" fillId="2" borderId="0" xfId="0" applyFont="1" applyFill="1" applyAlignment="1">
      <alignment horizontal="center"/>
    </xf>
    <xf numFmtId="0" fontId="0" fillId="2" borderId="0" xfId="0" quotePrefix="1" applyFill="1" applyAlignment="1">
      <alignment horizontal="center"/>
    </xf>
    <xf numFmtId="166" fontId="23" fillId="2" borderId="3" xfId="0" applyNumberFormat="1" applyFont="1" applyFill="1" applyBorder="1" applyAlignment="1">
      <alignment horizontal="center"/>
    </xf>
    <xf numFmtId="166" fontId="23" fillId="2" borderId="24" xfId="0" applyNumberFormat="1" applyFont="1" applyFill="1" applyBorder="1" applyAlignment="1">
      <alignment horizontal="center"/>
    </xf>
    <xf numFmtId="2" fontId="23" fillId="2" borderId="3" xfId="0" applyNumberFormat="1" applyFont="1" applyFill="1" applyBorder="1" applyAlignment="1">
      <alignment horizontal="center"/>
    </xf>
    <xf numFmtId="2" fontId="23" fillId="2" borderId="0" xfId="0" applyNumberFormat="1" applyFont="1" applyFill="1" applyAlignment="1">
      <alignment horizontal="center"/>
    </xf>
    <xf numFmtId="1" fontId="12" fillId="3" borderId="0" xfId="0" applyNumberFormat="1" applyFont="1" applyFill="1"/>
    <xf numFmtId="0" fontId="46" fillId="2" borderId="0" xfId="0" applyFont="1" applyFill="1"/>
    <xf numFmtId="0" fontId="52" fillId="2" borderId="0" xfId="0" applyFont="1" applyFill="1" applyAlignment="1">
      <alignment shrinkToFit="1"/>
    </xf>
    <xf numFmtId="0" fontId="42" fillId="2" borderId="0" xfId="0" applyFont="1" applyFill="1" applyAlignment="1">
      <alignment shrinkToFit="1"/>
    </xf>
    <xf numFmtId="0" fontId="52" fillId="2" borderId="0" xfId="0" applyFont="1" applyFill="1"/>
    <xf numFmtId="0" fontId="42" fillId="2" borderId="0" xfId="0" applyFont="1" applyFill="1"/>
    <xf numFmtId="0" fontId="42" fillId="2" borderId="0" xfId="0" applyFont="1" applyFill="1" applyAlignment="1">
      <alignment horizontal="right"/>
    </xf>
    <xf numFmtId="2" fontId="42" fillId="2" borderId="0" xfId="0" applyNumberFormat="1" applyFont="1" applyFill="1"/>
    <xf numFmtId="0" fontId="15" fillId="2" borderId="0" xfId="0" applyFont="1" applyFill="1"/>
    <xf numFmtId="0" fontId="30" fillId="2" borderId="0" xfId="0" applyFont="1" applyFill="1"/>
    <xf numFmtId="171" fontId="12" fillId="2" borderId="0" xfId="0" quotePrefix="1" applyNumberFormat="1" applyFont="1" applyFill="1"/>
    <xf numFmtId="0" fontId="30" fillId="2" borderId="0" xfId="0" applyFont="1" applyFill="1" applyAlignment="1">
      <alignment horizontal="left"/>
    </xf>
    <xf numFmtId="0" fontId="15" fillId="2" borderId="0" xfId="0" applyFont="1" applyFill="1" applyAlignment="1">
      <alignment shrinkToFit="1"/>
    </xf>
    <xf numFmtId="0" fontId="31" fillId="2" borderId="0" xfId="0" applyFont="1" applyFill="1"/>
    <xf numFmtId="0" fontId="31" fillId="2" borderId="0" xfId="0" applyFont="1" applyFill="1" applyAlignment="1">
      <alignment horizontal="left"/>
    </xf>
    <xf numFmtId="169" fontId="0" fillId="2" borderId="2" xfId="0" applyNumberFormat="1" applyFill="1" applyBorder="1" applyAlignment="1">
      <alignment horizontal="center"/>
    </xf>
    <xf numFmtId="171" fontId="0" fillId="2" borderId="0" xfId="0" applyNumberFormat="1" applyFill="1" applyAlignment="1">
      <alignment horizontal="center"/>
    </xf>
    <xf numFmtId="168" fontId="0" fillId="2" borderId="2" xfId="0" applyNumberFormat="1" applyFill="1" applyBorder="1" applyAlignment="1">
      <alignment horizontal="center"/>
    </xf>
    <xf numFmtId="0" fontId="0" fillId="2" borderId="2" xfId="0" applyFill="1" applyBorder="1" applyAlignment="1">
      <alignment horizontal="center"/>
    </xf>
    <xf numFmtId="171" fontId="0" fillId="2" borderId="0" xfId="0" quotePrefix="1" applyNumberFormat="1" applyFill="1" applyAlignment="1">
      <alignment horizontal="center"/>
    </xf>
    <xf numFmtId="0" fontId="12" fillId="2" borderId="0" xfId="0" quotePrefix="1" applyFont="1" applyFill="1" applyAlignment="1">
      <alignment horizontal="center" shrinkToFit="1"/>
    </xf>
    <xf numFmtId="0" fontId="12" fillId="2" borderId="0" xfId="0" applyFont="1" applyFill="1" applyAlignment="1">
      <alignment horizontal="left"/>
    </xf>
    <xf numFmtId="0" fontId="46" fillId="2" borderId="0" xfId="0" applyFont="1" applyFill="1" applyAlignment="1">
      <alignment horizontal="left"/>
    </xf>
    <xf numFmtId="0" fontId="0" fillId="2" borderId="0" xfId="0" applyFill="1" applyAlignment="1">
      <alignment horizontal="centerContinuous"/>
    </xf>
    <xf numFmtId="171" fontId="30" fillId="2" borderId="0" xfId="0" applyNumberFormat="1" applyFont="1" applyFill="1" applyAlignment="1">
      <alignment horizontal="center"/>
    </xf>
    <xf numFmtId="169" fontId="53" fillId="2" borderId="0" xfId="0" applyNumberFormat="1" applyFont="1" applyFill="1" applyAlignment="1">
      <alignment horizontal="center"/>
    </xf>
    <xf numFmtId="171" fontId="53" fillId="2" borderId="0" xfId="0" applyNumberFormat="1" applyFont="1" applyFill="1" applyAlignment="1">
      <alignment horizontal="center"/>
    </xf>
    <xf numFmtId="0" fontId="53" fillId="2" borderId="0" xfId="0" applyFont="1" applyFill="1" applyAlignment="1">
      <alignment horizontal="left"/>
    </xf>
    <xf numFmtId="0" fontId="14" fillId="3" borderId="0" xfId="0" applyFont="1" applyFill="1"/>
    <xf numFmtId="2" fontId="12" fillId="3" borderId="0" xfId="0" applyNumberFormat="1" applyFont="1" applyFill="1"/>
    <xf numFmtId="0" fontId="12" fillId="2" borderId="0" xfId="0" applyFont="1" applyFill="1" applyAlignment="1">
      <alignment horizontal="right"/>
    </xf>
    <xf numFmtId="2" fontId="0" fillId="2" borderId="0" xfId="0" quotePrefix="1" applyNumberFormat="1" applyFill="1" applyAlignment="1">
      <alignment horizontal="center"/>
    </xf>
    <xf numFmtId="2" fontId="0" fillId="2" borderId="0" xfId="0" applyNumberFormat="1" applyFill="1" applyAlignment="1">
      <alignment horizontal="center"/>
    </xf>
    <xf numFmtId="2" fontId="12" fillId="2" borderId="0" xfId="0" applyNumberFormat="1" applyFont="1" applyFill="1"/>
    <xf numFmtId="2" fontId="0" fillId="2" borderId="0" xfId="0" quotePrefix="1" applyNumberFormat="1" applyFill="1"/>
    <xf numFmtId="0" fontId="0" fillId="2" borderId="0" xfId="0" applyFill="1" applyAlignment="1">
      <alignment horizontal="left"/>
    </xf>
    <xf numFmtId="2" fontId="30" fillId="2" borderId="0" xfId="0" applyNumberFormat="1" applyFont="1" applyFill="1" applyAlignment="1">
      <alignment horizontal="center"/>
    </xf>
    <xf numFmtId="2" fontId="12" fillId="2" borderId="0" xfId="0" applyNumberFormat="1" applyFont="1" applyFill="1" applyAlignment="1">
      <alignment horizontal="center"/>
    </xf>
    <xf numFmtId="2" fontId="30" fillId="2" borderId="0" xfId="0" applyNumberFormat="1" applyFont="1" applyFill="1" applyAlignment="1">
      <alignment horizontal="left"/>
    </xf>
    <xf numFmtId="2" fontId="23" fillId="0" borderId="0" xfId="0" applyNumberFormat="1" applyFont="1" applyAlignment="1">
      <alignment horizontal="center"/>
    </xf>
    <xf numFmtId="0" fontId="0" fillId="3" borderId="0" xfId="0" applyFill="1" applyAlignment="1">
      <alignment horizontal="center"/>
    </xf>
    <xf numFmtId="2" fontId="15" fillId="3" borderId="0" xfId="0" applyNumberFormat="1" applyFont="1" applyFill="1" applyAlignment="1">
      <alignment horizontal="left"/>
    </xf>
    <xf numFmtId="2" fontId="30" fillId="3" borderId="0" xfId="0" applyNumberFormat="1" applyFont="1" applyFill="1" applyAlignment="1">
      <alignment horizontal="left"/>
    </xf>
    <xf numFmtId="0" fontId="12" fillId="2" borderId="3" xfId="0" applyFont="1" applyFill="1" applyBorder="1" applyAlignment="1">
      <alignment horizontal="left"/>
    </xf>
    <xf numFmtId="169" fontId="0" fillId="2" borderId="0" xfId="0" applyNumberFormat="1" applyFill="1" applyAlignment="1">
      <alignment horizontal="center"/>
    </xf>
    <xf numFmtId="0" fontId="12" fillId="2" borderId="25" xfId="0" applyFont="1" applyFill="1" applyBorder="1" applyAlignment="1">
      <alignment horizontal="center"/>
    </xf>
    <xf numFmtId="0" fontId="12" fillId="2" borderId="12" xfId="0" applyFont="1" applyFill="1" applyBorder="1" applyAlignment="1">
      <alignment horizontal="center"/>
    </xf>
    <xf numFmtId="0" fontId="31" fillId="2" borderId="0" xfId="0" quotePrefix="1" applyFont="1" applyFill="1" applyAlignment="1">
      <alignment horizontal="center"/>
    </xf>
    <xf numFmtId="0" fontId="0" fillId="0" borderId="26" xfId="0" applyBorder="1"/>
    <xf numFmtId="0" fontId="0" fillId="0" borderId="27" xfId="0" applyBorder="1"/>
    <xf numFmtId="0" fontId="0" fillId="0" borderId="28" xfId="0" applyBorder="1"/>
    <xf numFmtId="0" fontId="0" fillId="0" borderId="29" xfId="0" applyBorder="1"/>
    <xf numFmtId="0" fontId="0" fillId="0" borderId="30" xfId="0" applyBorder="1"/>
    <xf numFmtId="0" fontId="12" fillId="0" borderId="2" xfId="0" applyFont="1" applyBorder="1" applyAlignment="1">
      <alignment horizontal="center"/>
    </xf>
    <xf numFmtId="0" fontId="12" fillId="0" borderId="26" xfId="0" applyFont="1" applyBorder="1" applyAlignment="1">
      <alignment horizontal="center"/>
    </xf>
    <xf numFmtId="0" fontId="31" fillId="0" borderId="0" xfId="0" applyFont="1" applyAlignment="1">
      <alignment horizontal="center"/>
    </xf>
    <xf numFmtId="0" fontId="0" fillId="0" borderId="0" xfId="0" quotePrefix="1"/>
    <xf numFmtId="0" fontId="55" fillId="0" borderId="0" xfId="0" applyFont="1" applyAlignment="1">
      <alignment horizontal="left"/>
    </xf>
    <xf numFmtId="3" fontId="0" fillId="0" borderId="0" xfId="0" applyNumberFormat="1"/>
    <xf numFmtId="168" fontId="0" fillId="0" borderId="32" xfId="0" applyNumberFormat="1" applyBorder="1" applyAlignment="1">
      <alignment horizontal="center"/>
    </xf>
    <xf numFmtId="168" fontId="30" fillId="0" borderId="32" xfId="0" applyNumberFormat="1" applyFont="1" applyBorder="1" applyAlignment="1">
      <alignment horizontal="center"/>
    </xf>
    <xf numFmtId="0" fontId="0" fillId="0" borderId="31" xfId="0" applyBorder="1" applyAlignment="1">
      <alignment horizontal="left"/>
    </xf>
    <xf numFmtId="1" fontId="30" fillId="0" borderId="32" xfId="0" applyNumberFormat="1" applyFont="1" applyBorder="1" applyAlignment="1">
      <alignment horizontal="center"/>
    </xf>
    <xf numFmtId="0" fontId="46" fillId="2" borderId="0" xfId="0" applyFont="1" applyFill="1" applyAlignment="1">
      <alignment horizontal="right"/>
    </xf>
    <xf numFmtId="0" fontId="46" fillId="2" borderId="0" xfId="0" quotePrefix="1" applyFont="1" applyFill="1"/>
    <xf numFmtId="167" fontId="46" fillId="2" borderId="0" xfId="0" applyNumberFormat="1" applyFont="1" applyFill="1" applyAlignment="1">
      <alignment horizontal="right"/>
    </xf>
    <xf numFmtId="9" fontId="0" fillId="0" borderId="2" xfId="0" applyNumberFormat="1" applyBorder="1" applyAlignment="1">
      <alignment horizontal="center"/>
    </xf>
    <xf numFmtId="1" fontId="0" fillId="0" borderId="0" xfId="0" applyNumberFormat="1" applyAlignment="1">
      <alignment horizontal="center"/>
    </xf>
    <xf numFmtId="9" fontId="0" fillId="0" borderId="0" xfId="0" applyNumberFormat="1" applyAlignment="1">
      <alignment horizontal="center"/>
    </xf>
    <xf numFmtId="166" fontId="46" fillId="2" borderId="0" xfId="0" applyNumberFormat="1" applyFont="1" applyFill="1" applyAlignment="1">
      <alignment horizontal="right"/>
    </xf>
    <xf numFmtId="169" fontId="46" fillId="2" borderId="0" xfId="0" applyNumberFormat="1" applyFont="1" applyFill="1" applyAlignment="1">
      <alignment horizontal="left"/>
    </xf>
    <xf numFmtId="167" fontId="59" fillId="0" borderId="2" xfId="0" applyNumberFormat="1" applyFont="1" applyBorder="1" applyAlignment="1">
      <alignment horizontal="left" indent="1"/>
    </xf>
    <xf numFmtId="1" fontId="36" fillId="0" borderId="0" xfId="0" applyNumberFormat="1" applyFont="1"/>
    <xf numFmtId="0" fontId="0" fillId="0" borderId="0" xfId="0" quotePrefix="1" applyAlignment="1">
      <alignment horizontal="left"/>
    </xf>
    <xf numFmtId="166" fontId="0" fillId="0" borderId="0" xfId="0" applyNumberFormat="1" applyAlignment="1">
      <alignment horizontal="left"/>
    </xf>
    <xf numFmtId="0" fontId="36" fillId="0" borderId="0" xfId="0" applyFont="1"/>
    <xf numFmtId="0" fontId="30" fillId="0" borderId="0" xfId="0" applyFont="1" applyAlignment="1">
      <alignment horizontal="right"/>
    </xf>
    <xf numFmtId="0" fontId="23" fillId="6" borderId="6" xfId="0" applyFont="1" applyFill="1" applyBorder="1" applyAlignment="1" applyProtection="1">
      <alignment horizontal="centerContinuous"/>
      <protection hidden="1"/>
    </xf>
    <xf numFmtId="0" fontId="23" fillId="6" borderId="13" xfId="0" applyFont="1" applyFill="1" applyBorder="1" applyProtection="1">
      <protection hidden="1"/>
    </xf>
    <xf numFmtId="0" fontId="23" fillId="6" borderId="8" xfId="0" applyFont="1" applyFill="1" applyBorder="1" applyProtection="1">
      <protection hidden="1"/>
    </xf>
    <xf numFmtId="166" fontId="0" fillId="0" borderId="0" xfId="0" quotePrefix="1" applyNumberFormat="1" applyAlignment="1">
      <alignment horizontal="center"/>
    </xf>
    <xf numFmtId="2" fontId="27" fillId="0" borderId="0" xfId="0" applyNumberFormat="1" applyFont="1" applyAlignment="1">
      <alignment horizontal="centerContinuous"/>
    </xf>
    <xf numFmtId="172" fontId="0" fillId="0" borderId="2" xfId="0" quotePrefix="1" applyNumberFormat="1" applyBorder="1" applyAlignment="1">
      <alignment horizontal="center"/>
    </xf>
    <xf numFmtId="167" fontId="12" fillId="0" borderId="3" xfId="0" applyNumberFormat="1" applyFont="1" applyBorder="1"/>
    <xf numFmtId="9" fontId="27" fillId="0" borderId="0" xfId="0" applyNumberFormat="1" applyFont="1" applyAlignment="1">
      <alignment horizontal="centerContinuous"/>
    </xf>
    <xf numFmtId="0" fontId="40" fillId="6" borderId="0" xfId="0" applyFont="1" applyFill="1" applyAlignment="1" applyProtection="1">
      <alignment horizontal="center"/>
      <protection hidden="1"/>
    </xf>
    <xf numFmtId="0" fontId="44" fillId="6" borderId="2" xfId="0" applyFont="1" applyFill="1" applyBorder="1" applyProtection="1">
      <protection hidden="1"/>
    </xf>
    <xf numFmtId="0" fontId="0" fillId="6" borderId="2" xfId="0" applyFill="1" applyBorder="1" applyAlignment="1" applyProtection="1">
      <alignment horizontal="center"/>
      <protection hidden="1"/>
    </xf>
    <xf numFmtId="166" fontId="43" fillId="6" borderId="34" xfId="0" quotePrefix="1" applyNumberFormat="1" applyFont="1" applyFill="1" applyBorder="1" applyAlignment="1" applyProtection="1">
      <alignment horizontal="center"/>
      <protection hidden="1"/>
    </xf>
    <xf numFmtId="0" fontId="0" fillId="6" borderId="15" xfId="0" applyFill="1" applyBorder="1" applyAlignment="1" applyProtection="1">
      <alignment horizontal="centerContinuous"/>
      <protection hidden="1"/>
    </xf>
    <xf numFmtId="0" fontId="21" fillId="6" borderId="8" xfId="0" applyFont="1" applyFill="1" applyBorder="1" applyAlignment="1" applyProtection="1">
      <alignment horizontal="left"/>
      <protection hidden="1"/>
    </xf>
    <xf numFmtId="0" fontId="0" fillId="0" borderId="4" xfId="0" applyBorder="1" applyProtection="1">
      <protection hidden="1"/>
    </xf>
    <xf numFmtId="0" fontId="0" fillId="0" borderId="36" xfId="0" applyBorder="1" applyProtection="1">
      <protection hidden="1"/>
    </xf>
    <xf numFmtId="0" fontId="23" fillId="6" borderId="37" xfId="0" applyFont="1" applyFill="1" applyBorder="1" applyProtection="1">
      <protection hidden="1"/>
    </xf>
    <xf numFmtId="0" fontId="23" fillId="6" borderId="38" xfId="0" applyFont="1" applyFill="1" applyBorder="1" applyProtection="1">
      <protection hidden="1"/>
    </xf>
    <xf numFmtId="0" fontId="23" fillId="6" borderId="0" xfId="0" applyFont="1" applyFill="1" applyAlignment="1" applyProtection="1">
      <alignment horizontal="right"/>
      <protection hidden="1"/>
    </xf>
    <xf numFmtId="0" fontId="12" fillId="6" borderId="0" xfId="0" applyFont="1" applyFill="1" applyAlignment="1" applyProtection="1">
      <alignment horizontal="right"/>
      <protection hidden="1"/>
    </xf>
    <xf numFmtId="0" fontId="12" fillId="0" borderId="0" xfId="0" applyFont="1" applyProtection="1">
      <protection hidden="1"/>
    </xf>
    <xf numFmtId="0" fontId="12" fillId="6" borderId="0" xfId="0" applyFont="1" applyFill="1" applyAlignment="1" applyProtection="1">
      <alignment horizontal="left"/>
      <protection hidden="1"/>
    </xf>
    <xf numFmtId="0" fontId="0" fillId="0" borderId="13" xfId="0" applyBorder="1"/>
    <xf numFmtId="2" fontId="23" fillId="2" borderId="3" xfId="0" applyNumberFormat="1" applyFont="1" applyFill="1" applyBorder="1" applyProtection="1">
      <protection hidden="1"/>
    </xf>
    <xf numFmtId="0" fontId="30" fillId="2" borderId="0" xfId="0" applyFont="1" applyFill="1" applyAlignment="1" applyProtection="1">
      <alignment horizontal="right"/>
      <protection hidden="1"/>
    </xf>
    <xf numFmtId="1" fontId="12" fillId="0" borderId="0" xfId="0" applyNumberFormat="1" applyFont="1" applyAlignment="1">
      <alignment horizontal="center"/>
    </xf>
    <xf numFmtId="0" fontId="9" fillId="2" borderId="0" xfId="0" applyFont="1" applyFill="1" applyAlignment="1" applyProtection="1">
      <alignment horizontal="center"/>
      <protection hidden="1"/>
    </xf>
    <xf numFmtId="0" fontId="9" fillId="2" borderId="0" xfId="0" quotePrefix="1" applyFont="1" applyFill="1" applyProtection="1">
      <protection hidden="1"/>
    </xf>
    <xf numFmtId="1" fontId="9" fillId="2" borderId="0" xfId="0" applyNumberFormat="1" applyFont="1" applyFill="1" applyAlignment="1" applyProtection="1">
      <alignment horizontal="center"/>
      <protection hidden="1"/>
    </xf>
    <xf numFmtId="0" fontId="9" fillId="2" borderId="0" xfId="0" quotePrefix="1" applyFont="1" applyFill="1" applyAlignment="1" applyProtection="1">
      <alignment horizontal="center"/>
      <protection hidden="1"/>
    </xf>
    <xf numFmtId="9" fontId="12" fillId="4" borderId="2" xfId="0" applyNumberFormat="1" applyFont="1" applyFill="1" applyBorder="1" applyAlignment="1" applyProtection="1">
      <alignment horizontal="center"/>
      <protection locked="0"/>
    </xf>
    <xf numFmtId="168" fontId="0" fillId="2" borderId="2" xfId="0" applyNumberFormat="1" applyFill="1" applyBorder="1" applyAlignment="1" applyProtection="1">
      <alignment horizontal="center"/>
      <protection hidden="1"/>
    </xf>
    <xf numFmtId="2" fontId="0" fillId="2" borderId="0" xfId="0" quotePrefix="1" applyNumberFormat="1" applyFill="1" applyAlignment="1" applyProtection="1">
      <alignment horizontal="center"/>
      <protection hidden="1"/>
    </xf>
    <xf numFmtId="3" fontId="12" fillId="2" borderId="2" xfId="0" applyNumberFormat="1" applyFont="1" applyFill="1" applyBorder="1" applyAlignment="1" applyProtection="1">
      <alignment horizontal="center"/>
      <protection hidden="1"/>
    </xf>
    <xf numFmtId="0" fontId="50" fillId="0" borderId="0" xfId="0" applyFont="1"/>
    <xf numFmtId="1" fontId="12" fillId="2" borderId="3" xfId="0" applyNumberFormat="1" applyFont="1" applyFill="1" applyBorder="1" applyAlignment="1" applyProtection="1">
      <alignment horizontal="right"/>
      <protection hidden="1"/>
    </xf>
    <xf numFmtId="9" fontId="12" fillId="4" borderId="3" xfId="7" applyFont="1" applyFill="1" applyBorder="1" applyAlignment="1" applyProtection="1">
      <alignment horizontal="right"/>
      <protection locked="0"/>
    </xf>
    <xf numFmtId="166" fontId="32" fillId="0" borderId="0" xfId="0" quotePrefix="1" applyNumberFormat="1" applyFont="1" applyAlignment="1">
      <alignment horizontal="center"/>
    </xf>
    <xf numFmtId="166" fontId="0" fillId="2" borderId="0" xfId="0" quotePrefix="1" applyNumberFormat="1" applyFill="1" applyAlignment="1">
      <alignment horizontal="center"/>
    </xf>
    <xf numFmtId="0" fontId="11" fillId="2" borderId="0" xfId="0" applyFont="1" applyFill="1" applyAlignment="1" applyProtection="1">
      <alignment horizontal="center"/>
      <protection hidden="1"/>
    </xf>
    <xf numFmtId="0" fontId="11" fillId="0" borderId="0" xfId="0" applyFont="1" applyAlignment="1">
      <alignment horizontal="center"/>
    </xf>
    <xf numFmtId="0" fontId="11" fillId="2" borderId="0" xfId="0" applyFont="1" applyFill="1" applyAlignment="1" applyProtection="1">
      <alignment horizontal="right"/>
      <protection hidden="1"/>
    </xf>
    <xf numFmtId="168" fontId="12" fillId="2" borderId="2" xfId="0" applyNumberFormat="1" applyFont="1" applyFill="1" applyBorder="1" applyAlignment="1" applyProtection="1">
      <alignment horizontal="center"/>
      <protection hidden="1"/>
    </xf>
    <xf numFmtId="168" fontId="30" fillId="2" borderId="3" xfId="0" applyNumberFormat="1" applyFont="1" applyFill="1" applyBorder="1" applyAlignment="1" applyProtection="1">
      <alignment horizontal="center"/>
      <protection hidden="1"/>
    </xf>
    <xf numFmtId="168" fontId="12" fillId="2" borderId="3" xfId="0" applyNumberFormat="1" applyFont="1" applyFill="1" applyBorder="1" applyAlignment="1" applyProtection="1">
      <alignment horizontal="center"/>
      <protection hidden="1"/>
    </xf>
    <xf numFmtId="168" fontId="30" fillId="0" borderId="3" xfId="0" applyNumberFormat="1" applyFont="1" applyBorder="1" applyAlignment="1">
      <alignment horizontal="center"/>
    </xf>
    <xf numFmtId="9" fontId="12" fillId="2" borderId="2" xfId="7" applyFont="1" applyFill="1" applyBorder="1" applyAlignment="1" applyProtection="1">
      <alignment horizontal="center"/>
      <protection hidden="1"/>
    </xf>
    <xf numFmtId="168" fontId="0" fillId="2" borderId="2" xfId="0" quotePrefix="1" applyNumberFormat="1" applyFill="1" applyBorder="1" applyAlignment="1" applyProtection="1">
      <alignment horizontal="center"/>
      <protection hidden="1"/>
    </xf>
    <xf numFmtId="9" fontId="12" fillId="2" borderId="2" xfId="0" applyNumberFormat="1" applyFont="1" applyFill="1" applyBorder="1" applyAlignment="1" applyProtection="1">
      <alignment horizontal="center"/>
      <protection hidden="1"/>
    </xf>
    <xf numFmtId="0" fontId="30" fillId="2" borderId="0" xfId="0" applyFont="1" applyFill="1" applyAlignment="1">
      <alignment horizontal="center" shrinkToFit="1"/>
    </xf>
    <xf numFmtId="0" fontId="30" fillId="2" borderId="0" xfId="0" applyFont="1" applyFill="1" applyAlignment="1">
      <alignment horizontal="right"/>
    </xf>
    <xf numFmtId="0" fontId="30" fillId="2" borderId="0" xfId="0" applyFont="1" applyFill="1" applyAlignment="1">
      <alignment horizontal="right" shrinkToFit="1"/>
    </xf>
    <xf numFmtId="171" fontId="30" fillId="2" borderId="0" xfId="0" applyNumberFormat="1" applyFont="1" applyFill="1" applyAlignment="1">
      <alignment horizontal="right"/>
    </xf>
    <xf numFmtId="169" fontId="30" fillId="2" borderId="0" xfId="0" applyNumberFormat="1" applyFont="1" applyFill="1" applyAlignment="1">
      <alignment horizontal="right"/>
    </xf>
    <xf numFmtId="171" fontId="12" fillId="2" borderId="0" xfId="0" quotePrefix="1" applyNumberFormat="1" applyFont="1" applyFill="1" applyAlignment="1">
      <alignment horizontal="center"/>
    </xf>
    <xf numFmtId="168" fontId="37" fillId="2" borderId="0" xfId="0" applyNumberFormat="1" applyFont="1" applyFill="1" applyAlignment="1">
      <alignment horizontal="center"/>
    </xf>
    <xf numFmtId="169" fontId="37" fillId="2" borderId="0" xfId="0" applyNumberFormat="1" applyFont="1" applyFill="1" applyAlignment="1">
      <alignment horizontal="center"/>
    </xf>
    <xf numFmtId="168" fontId="30" fillId="2" borderId="3" xfId="0" applyNumberFormat="1" applyFont="1" applyFill="1" applyBorder="1" applyAlignment="1">
      <alignment horizontal="center"/>
    </xf>
    <xf numFmtId="169" fontId="30" fillId="2" borderId="3" xfId="0" applyNumberFormat="1" applyFont="1" applyFill="1" applyBorder="1" applyAlignment="1">
      <alignment horizontal="center"/>
    </xf>
    <xf numFmtId="2" fontId="30" fillId="2" borderId="3" xfId="0" applyNumberFormat="1" applyFont="1" applyFill="1" applyBorder="1" applyAlignment="1">
      <alignment horizontal="center"/>
    </xf>
    <xf numFmtId="0" fontId="30" fillId="2" borderId="3" xfId="0" applyFont="1" applyFill="1" applyBorder="1" applyAlignment="1">
      <alignment horizontal="center"/>
    </xf>
    <xf numFmtId="0" fontId="12" fillId="4" borderId="3" xfId="0" applyFont="1" applyFill="1" applyBorder="1" applyAlignment="1" applyProtection="1">
      <alignment horizontal="right"/>
      <protection locked="0"/>
    </xf>
    <xf numFmtId="0" fontId="30" fillId="0" borderId="0" xfId="0" applyFont="1" applyAlignment="1">
      <alignment horizontal="center"/>
    </xf>
    <xf numFmtId="168" fontId="0" fillId="0" borderId="0" xfId="0" applyNumberFormat="1" applyAlignment="1">
      <alignment horizontal="center"/>
    </xf>
    <xf numFmtId="167" fontId="9" fillId="0" borderId="0" xfId="0" quotePrefix="1" applyNumberFormat="1" applyFont="1" applyAlignment="1">
      <alignment horizontal="center"/>
    </xf>
    <xf numFmtId="167" fontId="9" fillId="0" borderId="0" xfId="0" applyNumberFormat="1" applyFont="1" applyAlignment="1">
      <alignment horizontal="center"/>
    </xf>
    <xf numFmtId="2" fontId="12" fillId="0" borderId="0" xfId="0" applyNumberFormat="1" applyFont="1" applyAlignment="1" applyProtection="1">
      <alignment horizontal="center"/>
      <protection locked="0"/>
    </xf>
    <xf numFmtId="9" fontId="9" fillId="2" borderId="0" xfId="0" applyNumberFormat="1" applyFont="1" applyFill="1" applyAlignment="1" applyProtection="1">
      <alignment horizontal="center"/>
      <protection hidden="1"/>
    </xf>
    <xf numFmtId="0" fontId="9" fillId="0" borderId="0" xfId="0" applyFont="1" applyAlignment="1">
      <alignment horizontal="center"/>
    </xf>
    <xf numFmtId="168" fontId="9" fillId="2" borderId="2" xfId="0" applyNumberFormat="1" applyFont="1" applyFill="1" applyBorder="1" applyAlignment="1" applyProtection="1">
      <alignment horizontal="center"/>
      <protection hidden="1"/>
    </xf>
    <xf numFmtId="0" fontId="9" fillId="6" borderId="2" xfId="0" applyFont="1" applyFill="1" applyBorder="1" applyAlignment="1">
      <alignment horizontal="center"/>
    </xf>
    <xf numFmtId="2" fontId="0" fillId="2" borderId="2" xfId="0" applyNumberFormat="1" applyFill="1" applyBorder="1" applyAlignment="1" applyProtection="1">
      <alignment horizontal="center"/>
      <protection hidden="1"/>
    </xf>
    <xf numFmtId="3" fontId="0" fillId="2" borderId="2" xfId="0" applyNumberFormat="1" applyFill="1" applyBorder="1" applyAlignment="1" applyProtection="1">
      <alignment horizontal="center"/>
      <protection hidden="1"/>
    </xf>
    <xf numFmtId="0" fontId="60" fillId="6" borderId="0" xfId="0" applyFont="1" applyFill="1" applyProtection="1">
      <protection hidden="1"/>
    </xf>
    <xf numFmtId="2" fontId="30" fillId="0" borderId="32" xfId="0" applyNumberFormat="1" applyFont="1" applyBorder="1" applyAlignment="1">
      <alignment horizontal="center"/>
    </xf>
    <xf numFmtId="0" fontId="12" fillId="2" borderId="0" xfId="0" quotePrefix="1" applyFont="1" applyFill="1" applyAlignment="1" applyProtection="1">
      <alignment horizontal="center"/>
      <protection hidden="1"/>
    </xf>
    <xf numFmtId="0" fontId="61" fillId="6" borderId="28" xfId="0" applyFont="1" applyFill="1" applyBorder="1" applyProtection="1">
      <protection hidden="1"/>
    </xf>
    <xf numFmtId="3" fontId="12" fillId="0" borderId="0" xfId="0" applyNumberFormat="1" applyFont="1" applyAlignment="1">
      <alignment horizontal="right"/>
    </xf>
    <xf numFmtId="9" fontId="12" fillId="2" borderId="0" xfId="8" applyFont="1" applyFill="1" applyBorder="1" applyAlignment="1" applyProtection="1">
      <alignment horizontal="center"/>
      <protection hidden="1"/>
    </xf>
    <xf numFmtId="9" fontId="0" fillId="0" borderId="0" xfId="0" applyNumberFormat="1" applyAlignment="1">
      <alignment horizontal="right"/>
    </xf>
    <xf numFmtId="1" fontId="0" fillId="2" borderId="2" xfId="0" quotePrefix="1" applyNumberFormat="1" applyFill="1" applyBorder="1" applyAlignment="1" applyProtection="1">
      <alignment horizontal="center"/>
      <protection hidden="1"/>
    </xf>
    <xf numFmtId="0" fontId="0" fillId="2" borderId="39" xfId="0" applyFill="1" applyBorder="1" applyProtection="1">
      <protection hidden="1"/>
    </xf>
    <xf numFmtId="168" fontId="30" fillId="2" borderId="0" xfId="0" applyNumberFormat="1" applyFont="1" applyFill="1" applyAlignment="1" applyProtection="1">
      <alignment horizontal="center"/>
      <protection hidden="1"/>
    </xf>
    <xf numFmtId="174" fontId="0" fillId="2" borderId="2" xfId="0" quotePrefix="1" applyNumberFormat="1" applyFill="1" applyBorder="1" applyAlignment="1" applyProtection="1">
      <alignment horizontal="center"/>
      <protection hidden="1"/>
    </xf>
    <xf numFmtId="2" fontId="12" fillId="9" borderId="3" xfId="0" applyNumberFormat="1" applyFont="1" applyFill="1" applyBorder="1" applyAlignment="1" applyProtection="1">
      <alignment horizontal="center"/>
      <protection locked="0"/>
    </xf>
    <xf numFmtId="2" fontId="12" fillId="9" borderId="3" xfId="8" applyNumberFormat="1" applyFont="1" applyFill="1" applyBorder="1" applyAlignment="1" applyProtection="1">
      <alignment horizontal="center"/>
      <protection locked="0"/>
    </xf>
    <xf numFmtId="2" fontId="12" fillId="2" borderId="3" xfId="8" applyNumberFormat="1" applyFont="1" applyFill="1" applyBorder="1" applyAlignment="1" applyProtection="1">
      <alignment horizontal="center"/>
      <protection hidden="1"/>
    </xf>
    <xf numFmtId="0" fontId="0" fillId="0" borderId="31" xfId="0" applyBorder="1"/>
    <xf numFmtId="38" fontId="30" fillId="0" borderId="0" xfId="0" applyNumberFormat="1" applyFont="1" applyAlignment="1">
      <alignment horizontal="center" wrapText="1"/>
    </xf>
    <xf numFmtId="2" fontId="30" fillId="2" borderId="3" xfId="0" applyNumberFormat="1" applyFont="1" applyFill="1" applyBorder="1" applyAlignment="1" applyProtection="1">
      <alignment horizontal="center"/>
      <protection hidden="1"/>
    </xf>
    <xf numFmtId="1" fontId="9" fillId="0" borderId="2" xfId="0" applyNumberFormat="1" applyFont="1" applyBorder="1" applyAlignment="1" applyProtection="1">
      <alignment horizontal="center"/>
      <protection hidden="1"/>
    </xf>
    <xf numFmtId="0" fontId="30" fillId="2" borderId="0" xfId="0" quotePrefix="1" applyFont="1" applyFill="1" applyAlignment="1" applyProtection="1">
      <alignment horizontal="right"/>
      <protection hidden="1"/>
    </xf>
    <xf numFmtId="168" fontId="12" fillId="0" borderId="0" xfId="0" applyNumberFormat="1" applyFont="1" applyAlignment="1" applyProtection="1">
      <alignment horizontal="center"/>
      <protection locked="0"/>
    </xf>
    <xf numFmtId="0" fontId="12" fillId="2" borderId="0" xfId="0" applyFont="1" applyFill="1" applyAlignment="1" applyProtection="1">
      <alignment wrapText="1"/>
      <protection hidden="1"/>
    </xf>
    <xf numFmtId="2" fontId="0" fillId="0" borderId="0" xfId="0" applyNumberFormat="1" applyProtection="1">
      <protection hidden="1"/>
    </xf>
    <xf numFmtId="0" fontId="0" fillId="0" borderId="8" xfId="0" applyBorder="1"/>
    <xf numFmtId="0" fontId="23" fillId="0" borderId="7" xfId="0" applyFont="1" applyBorder="1" applyAlignment="1">
      <alignment horizontal="center"/>
    </xf>
    <xf numFmtId="166" fontId="24" fillId="0" borderId="36" xfId="0" applyNumberFormat="1" applyFont="1" applyBorder="1" applyAlignment="1">
      <alignment horizontal="center"/>
    </xf>
    <xf numFmtId="166" fontId="24" fillId="0" borderId="4" xfId="0" applyNumberFormat="1" applyFont="1" applyBorder="1" applyAlignment="1">
      <alignment horizontal="center"/>
    </xf>
    <xf numFmtId="166" fontId="21" fillId="0" borderId="0" xfId="0" applyNumberFormat="1" applyFont="1" applyAlignment="1">
      <alignment horizontal="centerContinuous"/>
    </xf>
    <xf numFmtId="166" fontId="22" fillId="0" borderId="6" xfId="0" applyNumberFormat="1" applyFont="1" applyBorder="1" applyAlignment="1">
      <alignment horizontal="centerContinuous"/>
    </xf>
    <xf numFmtId="166" fontId="22" fillId="0" borderId="0" xfId="0" applyNumberFormat="1" applyFont="1" applyAlignment="1">
      <alignment horizontal="centerContinuous"/>
    </xf>
    <xf numFmtId="166" fontId="24" fillId="0" borderId="8" xfId="0" applyNumberFormat="1" applyFont="1" applyBorder="1" applyAlignment="1">
      <alignment horizontal="right"/>
    </xf>
    <xf numFmtId="166" fontId="24" fillId="0" borderId="8" xfId="0" quotePrefix="1" applyNumberFormat="1" applyFont="1" applyBorder="1" applyAlignment="1">
      <alignment horizontal="center"/>
    </xf>
    <xf numFmtId="0" fontId="15" fillId="0" borderId="0" xfId="0" applyFont="1"/>
    <xf numFmtId="170" fontId="0" fillId="0" borderId="0" xfId="0" quotePrefix="1" applyNumberFormat="1" applyAlignment="1">
      <alignment horizontal="center"/>
    </xf>
    <xf numFmtId="170" fontId="21" fillId="0" borderId="0" xfId="0" applyNumberFormat="1" applyFont="1" applyAlignment="1">
      <alignment horizontal="centerContinuous"/>
    </xf>
    <xf numFmtId="170" fontId="0" fillId="0" borderId="0" xfId="0" applyNumberFormat="1" applyAlignment="1">
      <alignment horizontal="centerContinuous"/>
    </xf>
    <xf numFmtId="170" fontId="26" fillId="0" borderId="8" xfId="0" applyNumberFormat="1" applyFont="1" applyBorder="1" applyAlignment="1">
      <alignment horizontal="center"/>
    </xf>
    <xf numFmtId="170" fontId="0" fillId="0" borderId="8" xfId="0" quotePrefix="1" applyNumberFormat="1" applyBorder="1" applyAlignment="1">
      <alignment horizontal="center"/>
    </xf>
    <xf numFmtId="170" fontId="0" fillId="0" borderId="0" xfId="0" applyNumberFormat="1"/>
    <xf numFmtId="170" fontId="21" fillId="0" borderId="6" xfId="0" applyNumberFormat="1" applyFont="1" applyBorder="1" applyAlignment="1">
      <alignment horizontal="centerContinuous"/>
    </xf>
    <xf numFmtId="170" fontId="0" fillId="0" borderId="6" xfId="0" applyNumberFormat="1" applyBorder="1" applyAlignment="1">
      <alignment horizontal="centerContinuous"/>
    </xf>
    <xf numFmtId="170" fontId="26" fillId="0" borderId="19" xfId="0" applyNumberFormat="1" applyFont="1" applyBorder="1" applyAlignment="1">
      <alignment horizontal="center"/>
    </xf>
    <xf numFmtId="170" fontId="26" fillId="0" borderId="0" xfId="0" applyNumberFormat="1" applyFont="1" applyAlignment="1">
      <alignment horizontal="center"/>
    </xf>
    <xf numFmtId="9" fontId="12" fillId="0" borderId="0" xfId="7" applyFont="1" applyFill="1" applyBorder="1" applyAlignment="1" applyProtection="1">
      <alignment horizontal="center"/>
      <protection locked="0"/>
    </xf>
    <xf numFmtId="167" fontId="12" fillId="0" borderId="0" xfId="0" applyNumberFormat="1" applyFont="1" applyAlignment="1">
      <alignment horizontal="center"/>
    </xf>
    <xf numFmtId="0" fontId="27" fillId="0" borderId="0" xfId="0" applyFont="1"/>
    <xf numFmtId="0" fontId="12" fillId="0" borderId="0" xfId="0" applyFont="1" applyAlignment="1" applyProtection="1">
      <alignment horizontal="center"/>
      <protection locked="0"/>
    </xf>
    <xf numFmtId="172" fontId="0" fillId="0" borderId="0" xfId="0" quotePrefix="1" applyNumberFormat="1" applyAlignment="1">
      <alignment horizontal="center"/>
    </xf>
    <xf numFmtId="167" fontId="12" fillId="0" borderId="0" xfId="0" applyNumberFormat="1" applyFont="1" applyAlignment="1">
      <alignment horizontal="centerContinuous"/>
    </xf>
    <xf numFmtId="169" fontId="12" fillId="0" borderId="0" xfId="0" applyNumberFormat="1" applyFont="1" applyAlignment="1">
      <alignment horizontal="centerContinuous"/>
    </xf>
    <xf numFmtId="9" fontId="37" fillId="0" borderId="0" xfId="7" applyFont="1" applyFill="1" applyBorder="1" applyAlignment="1" applyProtection="1">
      <alignment horizontal="center"/>
      <protection locked="0"/>
    </xf>
    <xf numFmtId="9" fontId="0" fillId="0" borderId="0" xfId="7" quotePrefix="1" applyFont="1" applyFill="1" applyBorder="1" applyAlignment="1" applyProtection="1">
      <alignment horizontal="center"/>
    </xf>
    <xf numFmtId="0" fontId="14" fillId="0" borderId="0" xfId="0" applyFont="1" applyAlignment="1">
      <alignment horizontal="left"/>
    </xf>
    <xf numFmtId="166" fontId="13" fillId="0" borderId="0" xfId="0" applyNumberFormat="1" applyFont="1"/>
    <xf numFmtId="167" fontId="13" fillId="0" borderId="0" xfId="0" applyNumberFormat="1" applyFont="1"/>
    <xf numFmtId="0" fontId="64" fillId="0" borderId="40" xfId="0" applyFont="1" applyBorder="1"/>
    <xf numFmtId="0" fontId="67" fillId="0" borderId="0" xfId="4" applyFont="1"/>
    <xf numFmtId="0" fontId="67" fillId="0" borderId="4" xfId="4" applyFont="1" applyBorder="1"/>
    <xf numFmtId="0" fontId="68" fillId="0" borderId="0" xfId="5" applyFont="1"/>
    <xf numFmtId="166" fontId="68" fillId="0" borderId="0" xfId="5" applyNumberFormat="1" applyFont="1" applyAlignment="1" applyProtection="1">
      <alignment horizontal="center"/>
      <protection locked="0"/>
    </xf>
    <xf numFmtId="0" fontId="68" fillId="0" borderId="4" xfId="5" applyFont="1" applyBorder="1"/>
    <xf numFmtId="170" fontId="68" fillId="0" borderId="0" xfId="5" quotePrefix="1" applyNumberFormat="1" applyFont="1" applyAlignment="1">
      <alignment horizontal="center"/>
    </xf>
    <xf numFmtId="0" fontId="67" fillId="0" borderId="24" xfId="4" applyFont="1" applyBorder="1"/>
    <xf numFmtId="0" fontId="68" fillId="0" borderId="13" xfId="5" applyFont="1" applyBorder="1"/>
    <xf numFmtId="170" fontId="68" fillId="0" borderId="0" xfId="5" applyNumberFormat="1" applyFont="1" applyAlignment="1">
      <alignment horizontal="center"/>
    </xf>
    <xf numFmtId="0" fontId="67" fillId="0" borderId="19" xfId="4" applyFont="1" applyBorder="1"/>
    <xf numFmtId="166" fontId="68" fillId="0" borderId="12" xfId="5" quotePrefix="1" applyNumberFormat="1" applyFont="1" applyBorder="1" applyAlignment="1">
      <alignment horizontal="center"/>
    </xf>
    <xf numFmtId="166" fontId="68" fillId="0" borderId="8" xfId="5" applyNumberFormat="1" applyFont="1" applyBorder="1" applyAlignment="1">
      <alignment horizontal="center"/>
    </xf>
    <xf numFmtId="0" fontId="67" fillId="0" borderId="16" xfId="4" applyFont="1" applyBorder="1"/>
    <xf numFmtId="170" fontId="69" fillId="0" borderId="0" xfId="5" applyNumberFormat="1" applyFont="1" applyAlignment="1">
      <alignment horizontal="center"/>
    </xf>
    <xf numFmtId="0" fontId="68" fillId="0" borderId="0" xfId="5" applyFont="1" applyAlignment="1">
      <alignment horizontal="centerContinuous"/>
    </xf>
    <xf numFmtId="1" fontId="68" fillId="0" borderId="0" xfId="5" applyNumberFormat="1" applyFont="1" applyAlignment="1">
      <alignment horizontal="left"/>
    </xf>
    <xf numFmtId="166" fontId="68" fillId="0" borderId="0" xfId="5" quotePrefix="1" applyNumberFormat="1" applyFont="1" applyAlignment="1">
      <alignment horizontal="center"/>
    </xf>
    <xf numFmtId="166" fontId="68" fillId="0" borderId="0" xfId="5" applyNumberFormat="1" applyFont="1" applyAlignment="1">
      <alignment horizontal="center"/>
    </xf>
    <xf numFmtId="166" fontId="68" fillId="0" borderId="4" xfId="5" applyNumberFormat="1" applyFont="1" applyBorder="1" applyAlignment="1">
      <alignment horizontal="center"/>
    </xf>
    <xf numFmtId="0" fontId="67" fillId="0" borderId="41" xfId="4" applyFont="1" applyBorder="1"/>
    <xf numFmtId="0" fontId="67" fillId="0" borderId="6" xfId="4" applyFont="1" applyBorder="1"/>
    <xf numFmtId="170" fontId="68" fillId="0" borderId="0" xfId="5" applyNumberFormat="1" applyFont="1" applyAlignment="1">
      <alignment horizontal="centerContinuous"/>
    </xf>
    <xf numFmtId="0" fontId="70" fillId="0" borderId="0" xfId="5" applyFont="1"/>
    <xf numFmtId="166" fontId="71" fillId="0" borderId="8" xfId="5" applyNumberFormat="1" applyFont="1" applyBorder="1" applyAlignment="1">
      <alignment horizontal="center"/>
    </xf>
    <xf numFmtId="166" fontId="71" fillId="0" borderId="42" xfId="5" applyNumberFormat="1" applyFont="1" applyBorder="1" applyAlignment="1">
      <alignment horizontal="center"/>
    </xf>
    <xf numFmtId="0" fontId="71" fillId="0" borderId="0" xfId="5" applyFont="1"/>
    <xf numFmtId="166" fontId="68" fillId="0" borderId="16" xfId="5" applyNumberFormat="1" applyFont="1" applyBorder="1" applyAlignment="1" applyProtection="1">
      <alignment horizontal="center"/>
      <protection locked="0"/>
    </xf>
    <xf numFmtId="0" fontId="68" fillId="0" borderId="0" xfId="5" applyFont="1" applyAlignment="1">
      <alignment horizontal="left"/>
    </xf>
    <xf numFmtId="0" fontId="67" fillId="0" borderId="15" xfId="4" applyFont="1" applyBorder="1"/>
    <xf numFmtId="0" fontId="67" fillId="0" borderId="36" xfId="4" applyFont="1" applyBorder="1"/>
    <xf numFmtId="0" fontId="67" fillId="0" borderId="28" xfId="4" applyFont="1" applyBorder="1"/>
    <xf numFmtId="0" fontId="67" fillId="0" borderId="17" xfId="4" applyFont="1" applyBorder="1"/>
    <xf numFmtId="166" fontId="68" fillId="0" borderId="17" xfId="5" applyNumberFormat="1" applyFont="1" applyBorder="1" applyAlignment="1" applyProtection="1">
      <alignment horizontal="center"/>
      <protection locked="0"/>
    </xf>
    <xf numFmtId="0" fontId="68" fillId="0" borderId="17" xfId="5" applyFont="1" applyBorder="1" applyAlignment="1">
      <alignment horizontal="centerContinuous"/>
    </xf>
    <xf numFmtId="0" fontId="68" fillId="0" borderId="43" xfId="5" applyFont="1" applyBorder="1"/>
    <xf numFmtId="166" fontId="71" fillId="0" borderId="0" xfId="5" applyNumberFormat="1" applyFont="1" applyAlignment="1">
      <alignment horizontal="centerContinuous"/>
    </xf>
    <xf numFmtId="170" fontId="68" fillId="0" borderId="17" xfId="5" applyNumberFormat="1" applyFont="1" applyBorder="1" applyAlignment="1">
      <alignment horizontal="centerContinuous"/>
    </xf>
    <xf numFmtId="166" fontId="68" fillId="0" borderId="43" xfId="5" applyNumberFormat="1" applyFont="1" applyBorder="1" applyAlignment="1">
      <alignment horizontal="center"/>
    </xf>
    <xf numFmtId="170" fontId="69" fillId="0" borderId="17" xfId="5" applyNumberFormat="1" applyFont="1" applyBorder="1" applyAlignment="1">
      <alignment horizontal="center"/>
    </xf>
    <xf numFmtId="0" fontId="79" fillId="0" borderId="0" xfId="4"/>
    <xf numFmtId="0" fontId="79" fillId="0" borderId="0" xfId="4" applyAlignment="1">
      <alignment vertical="top"/>
    </xf>
    <xf numFmtId="0" fontId="68" fillId="0" borderId="0" xfId="5" applyFont="1" applyAlignment="1">
      <alignment horizontal="center"/>
    </xf>
    <xf numFmtId="0" fontId="67" fillId="0" borderId="30" xfId="4" applyFont="1" applyBorder="1"/>
    <xf numFmtId="0" fontId="67" fillId="0" borderId="2" xfId="4" applyFont="1" applyBorder="1"/>
    <xf numFmtId="0" fontId="67" fillId="0" borderId="29" xfId="4" applyFont="1" applyBorder="1"/>
    <xf numFmtId="166" fontId="68" fillId="0" borderId="28" xfId="5" applyNumberFormat="1" applyFont="1" applyBorder="1" applyAlignment="1">
      <alignment horizontal="center"/>
    </xf>
    <xf numFmtId="0" fontId="67" fillId="0" borderId="8" xfId="4" applyFont="1" applyBorder="1"/>
    <xf numFmtId="0" fontId="67" fillId="0" borderId="40" xfId="4" applyFont="1" applyBorder="1"/>
    <xf numFmtId="0" fontId="67" fillId="0" borderId="27" xfId="4" applyFont="1" applyBorder="1"/>
    <xf numFmtId="0" fontId="67" fillId="0" borderId="44" xfId="4" applyFont="1" applyBorder="1"/>
    <xf numFmtId="166" fontId="68" fillId="0" borderId="18" xfId="5" applyNumberFormat="1" applyFont="1" applyBorder="1" applyAlignment="1" applyProtection="1">
      <alignment horizontal="center"/>
      <protection locked="0"/>
    </xf>
    <xf numFmtId="166" fontId="68" fillId="0" borderId="36" xfId="5" quotePrefix="1" applyNumberFormat="1" applyFont="1" applyBorder="1" applyAlignment="1">
      <alignment horizontal="center"/>
    </xf>
    <xf numFmtId="0" fontId="68" fillId="0" borderId="40" xfId="5" applyFont="1" applyBorder="1"/>
    <xf numFmtId="166" fontId="68" fillId="0" borderId="30" xfId="5" applyNumberFormat="1" applyFont="1" applyBorder="1" applyAlignment="1">
      <alignment horizontal="center"/>
    </xf>
    <xf numFmtId="0" fontId="67" fillId="0" borderId="45" xfId="4" applyFont="1" applyBorder="1"/>
    <xf numFmtId="0" fontId="67" fillId="0" borderId="46" xfId="4" applyFont="1" applyBorder="1"/>
    <xf numFmtId="0" fontId="79" fillId="0" borderId="6" xfId="4" applyBorder="1" applyAlignment="1">
      <alignment horizontal="center"/>
    </xf>
    <xf numFmtId="0" fontId="68" fillId="0" borderId="16" xfId="5" applyFont="1" applyBorder="1"/>
    <xf numFmtId="166" fontId="68" fillId="0" borderId="16" xfId="5" applyNumberFormat="1" applyFont="1" applyBorder="1" applyAlignment="1">
      <alignment horizontal="center"/>
    </xf>
    <xf numFmtId="0" fontId="67" fillId="0" borderId="18" xfId="4" applyFont="1" applyBorder="1"/>
    <xf numFmtId="0" fontId="67" fillId="0" borderId="47" xfId="4" applyFont="1" applyBorder="1"/>
    <xf numFmtId="0" fontId="67" fillId="0" borderId="48" xfId="4" applyFont="1" applyBorder="1"/>
    <xf numFmtId="0" fontId="67" fillId="0" borderId="8" xfId="4" applyFont="1" applyBorder="1" applyAlignment="1">
      <alignment horizontal="center"/>
    </xf>
    <xf numFmtId="166" fontId="68" fillId="0" borderId="8" xfId="5" quotePrefix="1" applyNumberFormat="1" applyFont="1" applyBorder="1" applyAlignment="1">
      <alignment horizontal="center"/>
    </xf>
    <xf numFmtId="0" fontId="68" fillId="0" borderId="24" xfId="5" applyFont="1" applyBorder="1"/>
    <xf numFmtId="166" fontId="68" fillId="0" borderId="12" xfId="5" applyNumberFormat="1" applyFont="1" applyBorder="1" applyAlignment="1">
      <alignment horizontal="center"/>
    </xf>
    <xf numFmtId="166" fontId="68" fillId="0" borderId="19" xfId="5" applyNumberFormat="1" applyFont="1" applyBorder="1" applyAlignment="1">
      <alignment horizontal="center"/>
    </xf>
    <xf numFmtId="166" fontId="68" fillId="0" borderId="48" xfId="5" applyNumberFormat="1" applyFont="1" applyBorder="1" applyAlignment="1">
      <alignment horizontal="center"/>
    </xf>
    <xf numFmtId="166" fontId="68" fillId="0" borderId="47" xfId="5" applyNumberFormat="1" applyFont="1" applyBorder="1" applyAlignment="1">
      <alignment horizontal="center"/>
    </xf>
    <xf numFmtId="0" fontId="23" fillId="0" borderId="0" xfId="0" applyFont="1" applyAlignment="1" applyProtection="1">
      <alignment horizontal="left"/>
      <protection hidden="1"/>
    </xf>
    <xf numFmtId="168" fontId="12" fillId="0" borderId="3" xfId="0" applyNumberFormat="1" applyFont="1" applyBorder="1" applyAlignment="1">
      <alignment horizontal="center"/>
    </xf>
    <xf numFmtId="0" fontId="23" fillId="0" borderId="0" xfId="0" applyFont="1" applyAlignment="1">
      <alignment horizontal="left"/>
    </xf>
    <xf numFmtId="0" fontId="27" fillId="2" borderId="0" xfId="0" applyFont="1" applyFill="1" applyAlignment="1" applyProtection="1">
      <alignment horizontal="center"/>
      <protection hidden="1"/>
    </xf>
    <xf numFmtId="166" fontId="0" fillId="0" borderId="0" xfId="0" applyNumberFormat="1" applyAlignment="1">
      <alignment horizontal="right" vertical="center"/>
    </xf>
    <xf numFmtId="1" fontId="0" fillId="0" borderId="0" xfId="0" applyNumberFormat="1" applyAlignment="1">
      <alignment horizontal="left"/>
    </xf>
    <xf numFmtId="0" fontId="16" fillId="0" borderId="0" xfId="6"/>
    <xf numFmtId="0" fontId="56" fillId="0" borderId="0" xfId="6" applyFont="1"/>
    <xf numFmtId="0" fontId="14" fillId="0" borderId="0" xfId="6" applyFont="1" applyAlignment="1">
      <alignment horizontal="center"/>
    </xf>
    <xf numFmtId="0" fontId="47" fillId="0" borderId="0" xfId="6" applyFont="1" applyAlignment="1">
      <alignment horizontal="center" vertical="center"/>
    </xf>
    <xf numFmtId="0" fontId="23" fillId="0" borderId="0" xfId="6" applyFont="1" applyAlignment="1">
      <alignment vertical="center"/>
    </xf>
    <xf numFmtId="0" fontId="12" fillId="0" borderId="0" xfId="6" applyFont="1" applyAlignment="1">
      <alignment horizontal="right"/>
    </xf>
    <xf numFmtId="0" fontId="12" fillId="0" borderId="0" xfId="6" applyFont="1"/>
    <xf numFmtId="0" fontId="16" fillId="2" borderId="0" xfId="6" applyFill="1"/>
    <xf numFmtId="0" fontId="30" fillId="2" borderId="0" xfId="6" applyFont="1" applyFill="1" applyAlignment="1" applyProtection="1">
      <alignment horizontal="center"/>
      <protection hidden="1"/>
    </xf>
    <xf numFmtId="0" fontId="16" fillId="2" borderId="0" xfId="6" quotePrefix="1" applyFill="1" applyAlignment="1" applyProtection="1">
      <alignment horizontal="center"/>
      <protection hidden="1"/>
    </xf>
    <xf numFmtId="0" fontId="16" fillId="2" borderId="0" xfId="6" applyFill="1" applyAlignment="1" applyProtection="1">
      <alignment horizontal="center"/>
      <protection hidden="1"/>
    </xf>
    <xf numFmtId="0" fontId="11" fillId="2" borderId="0" xfId="6" applyFont="1" applyFill="1" applyAlignment="1" applyProtection="1">
      <alignment horizontal="center"/>
      <protection hidden="1"/>
    </xf>
    <xf numFmtId="0" fontId="16" fillId="2" borderId="0" xfId="6" applyFill="1" applyProtection="1">
      <protection hidden="1"/>
    </xf>
    <xf numFmtId="1" fontId="11" fillId="2" borderId="0" xfId="6" applyNumberFormat="1" applyFont="1" applyFill="1" applyProtection="1">
      <protection hidden="1"/>
    </xf>
    <xf numFmtId="0" fontId="11" fillId="2" borderId="0" xfId="6" quotePrefix="1" applyFont="1" applyFill="1" applyAlignment="1" applyProtection="1">
      <alignment horizontal="center"/>
      <protection hidden="1"/>
    </xf>
    <xf numFmtId="0" fontId="27" fillId="2" borderId="0" xfId="6" applyFont="1" applyFill="1" applyAlignment="1" applyProtection="1">
      <alignment horizontal="center"/>
      <protection hidden="1"/>
    </xf>
    <xf numFmtId="0" fontId="11" fillId="2" borderId="0" xfId="6" applyFont="1" applyFill="1" applyProtection="1">
      <protection hidden="1"/>
    </xf>
    <xf numFmtId="0" fontId="12" fillId="2" borderId="0" xfId="6" applyFont="1" applyFill="1" applyProtection="1">
      <protection hidden="1"/>
    </xf>
    <xf numFmtId="0" fontId="12" fillId="2" borderId="0" xfId="6" quotePrefix="1" applyFont="1" applyFill="1" applyProtection="1">
      <protection hidden="1"/>
    </xf>
    <xf numFmtId="0" fontId="16" fillId="0" borderId="0" xfId="6" applyAlignment="1">
      <alignment horizontal="right"/>
    </xf>
    <xf numFmtId="0" fontId="16" fillId="0" borderId="0" xfId="6" quotePrefix="1" applyAlignment="1">
      <alignment horizontal="center"/>
    </xf>
    <xf numFmtId="0" fontId="12" fillId="0" borderId="16" xfId="6" applyFont="1" applyBorder="1" applyAlignment="1">
      <alignment horizontal="left"/>
    </xf>
    <xf numFmtId="0" fontId="12" fillId="0" borderId="15" xfId="6" applyFont="1" applyBorder="1" applyAlignment="1">
      <alignment horizontal="left"/>
    </xf>
    <xf numFmtId="0" fontId="12" fillId="0" borderId="51" xfId="6" applyFont="1" applyBorder="1" applyAlignment="1">
      <alignment horizontal="left"/>
    </xf>
    <xf numFmtId="0" fontId="12" fillId="0" borderId="6" xfId="6" applyFont="1" applyBorder="1"/>
    <xf numFmtId="0" fontId="16" fillId="0" borderId="16" xfId="6" applyBorder="1"/>
    <xf numFmtId="0" fontId="16" fillId="0" borderId="36" xfId="6" applyBorder="1"/>
    <xf numFmtId="0" fontId="16" fillId="0" borderId="4" xfId="6" applyBorder="1"/>
    <xf numFmtId="0" fontId="16" fillId="0" borderId="31" xfId="6" applyBorder="1"/>
    <xf numFmtId="0" fontId="16" fillId="0" borderId="49" xfId="6" applyBorder="1"/>
    <xf numFmtId="0" fontId="12" fillId="0" borderId="53" xfId="6" applyFont="1" applyBorder="1" applyAlignment="1">
      <alignment horizontal="left"/>
    </xf>
    <xf numFmtId="0" fontId="12" fillId="0" borderId="19" xfId="6" applyFont="1" applyBorder="1" applyAlignment="1">
      <alignment horizontal="left"/>
    </xf>
    <xf numFmtId="0" fontId="12" fillId="0" borderId="8" xfId="6" applyFont="1" applyBorder="1" applyAlignment="1">
      <alignment horizontal="left"/>
    </xf>
    <xf numFmtId="0" fontId="16" fillId="0" borderId="55" xfId="6" applyBorder="1"/>
    <xf numFmtId="0" fontId="16" fillId="0" borderId="56" xfId="6" applyBorder="1"/>
    <xf numFmtId="0" fontId="12" fillId="0" borderId="55" xfId="6" applyFont="1" applyBorder="1" applyAlignment="1">
      <alignment horizontal="left"/>
    </xf>
    <xf numFmtId="0" fontId="16" fillId="0" borderId="57" xfId="6" applyBorder="1"/>
    <xf numFmtId="0" fontId="16" fillId="0" borderId="58" xfId="6" applyBorder="1"/>
    <xf numFmtId="0" fontId="12" fillId="0" borderId="57" xfId="6" applyFont="1" applyBorder="1"/>
    <xf numFmtId="0" fontId="12" fillId="0" borderId="58" xfId="6" applyFont="1" applyBorder="1"/>
    <xf numFmtId="0" fontId="12" fillId="0" borderId="4" xfId="6" applyFont="1" applyBorder="1"/>
    <xf numFmtId="0" fontId="12" fillId="0" borderId="7" xfId="6" applyFont="1" applyBorder="1" applyAlignment="1">
      <alignment horizontal="left"/>
    </xf>
    <xf numFmtId="0" fontId="12" fillId="0" borderId="36" xfId="6" applyFont="1" applyBorder="1" applyAlignment="1">
      <alignment horizontal="left"/>
    </xf>
    <xf numFmtId="0" fontId="12" fillId="0" borderId="16" xfId="6" applyFont="1" applyBorder="1"/>
    <xf numFmtId="0" fontId="12" fillId="0" borderId="7" xfId="6" applyFont="1" applyBorder="1"/>
    <xf numFmtId="0" fontId="12" fillId="0" borderId="4" xfId="6" applyFont="1" applyBorder="1" applyAlignment="1">
      <alignment horizontal="center"/>
    </xf>
    <xf numFmtId="0" fontId="12" fillId="0" borderId="15" xfId="6" applyFont="1" applyBorder="1" applyAlignment="1">
      <alignment horizontal="center" vertical="center"/>
    </xf>
    <xf numFmtId="0" fontId="12" fillId="0" borderId="19" xfId="6" applyFont="1" applyBorder="1" applyAlignment="1">
      <alignment horizontal="center" vertical="center"/>
    </xf>
    <xf numFmtId="0" fontId="12" fillId="0" borderId="6" xfId="6" applyFont="1" applyBorder="1" applyAlignment="1">
      <alignment horizontal="center" vertical="center"/>
    </xf>
    <xf numFmtId="0" fontId="12" fillId="0" borderId="8" xfId="6" applyFont="1" applyBorder="1" applyAlignment="1">
      <alignment horizontal="center" vertical="center"/>
    </xf>
    <xf numFmtId="0" fontId="11" fillId="2" borderId="0" xfId="0" quotePrefix="1" applyFont="1" applyFill="1" applyAlignment="1" applyProtection="1">
      <alignment horizontal="center"/>
      <protection hidden="1"/>
    </xf>
    <xf numFmtId="0" fontId="11" fillId="2" borderId="0" xfId="0" quotePrefix="1" applyFont="1" applyFill="1" applyProtection="1">
      <protection hidden="1"/>
    </xf>
    <xf numFmtId="1" fontId="19" fillId="0" borderId="0" xfId="0" applyNumberFormat="1" applyFont="1" applyAlignment="1">
      <alignment horizontal="center"/>
    </xf>
    <xf numFmtId="1" fontId="0" fillId="2" borderId="0" xfId="0" applyNumberFormat="1" applyFill="1" applyAlignment="1">
      <alignment horizontal="center"/>
    </xf>
    <xf numFmtId="0" fontId="67" fillId="0" borderId="29" xfId="4" applyFont="1" applyBorder="1" applyAlignment="1">
      <alignment horizontal="right"/>
    </xf>
    <xf numFmtId="9" fontId="12" fillId="11" borderId="2" xfId="7" applyFont="1" applyFill="1" applyBorder="1" applyAlignment="1" applyProtection="1">
      <alignment horizontal="center"/>
      <protection locked="0"/>
    </xf>
    <xf numFmtId="0" fontId="81" fillId="0" borderId="0" xfId="0" applyFont="1"/>
    <xf numFmtId="0" fontId="0" fillId="0" borderId="3" xfId="0" applyBorder="1"/>
    <xf numFmtId="0" fontId="0" fillId="0" borderId="17" xfId="0" applyBorder="1" applyAlignment="1">
      <alignment wrapText="1"/>
    </xf>
    <xf numFmtId="0" fontId="0" fillId="0" borderId="0" xfId="0" applyAlignment="1">
      <alignment wrapText="1"/>
    </xf>
    <xf numFmtId="0" fontId="11" fillId="0" borderId="0" xfId="0" applyFont="1" applyAlignment="1">
      <alignment horizontal="right"/>
    </xf>
    <xf numFmtId="0" fontId="0" fillId="0" borderId="28" xfId="0" applyBorder="1" applyAlignment="1">
      <alignment wrapText="1"/>
    </xf>
    <xf numFmtId="0" fontId="16" fillId="0" borderId="0" xfId="6" applyAlignment="1">
      <alignment horizontal="center"/>
    </xf>
    <xf numFmtId="0" fontId="12" fillId="0" borderId="0" xfId="6" applyFont="1" applyAlignment="1">
      <alignment horizontal="center"/>
    </xf>
    <xf numFmtId="0" fontId="82" fillId="2" borderId="0" xfId="0" applyFont="1" applyFill="1" applyAlignment="1" applyProtection="1">
      <alignment horizontal="left" wrapText="1"/>
      <protection hidden="1"/>
    </xf>
    <xf numFmtId="0" fontId="0" fillId="7" borderId="25" xfId="0" applyFill="1" applyBorder="1" applyAlignment="1" applyProtection="1">
      <alignment horizontal="center"/>
      <protection hidden="1"/>
    </xf>
    <xf numFmtId="0" fontId="0" fillId="7" borderId="28" xfId="0" applyFill="1" applyBorder="1" applyAlignment="1" applyProtection="1">
      <alignment horizontal="center"/>
      <protection hidden="1"/>
    </xf>
    <xf numFmtId="0" fontId="0" fillId="7" borderId="69" xfId="0" applyFill="1" applyBorder="1" applyAlignment="1" applyProtection="1">
      <alignment horizontal="center"/>
      <protection hidden="1"/>
    </xf>
    <xf numFmtId="0" fontId="0" fillId="2" borderId="69" xfId="0" applyFill="1" applyBorder="1" applyAlignment="1" applyProtection="1">
      <alignment horizontal="center"/>
      <protection hidden="1"/>
    </xf>
    <xf numFmtId="0" fontId="0" fillId="7" borderId="70" xfId="0" applyFill="1" applyBorder="1" applyAlignment="1" applyProtection="1">
      <alignment horizontal="center"/>
      <protection hidden="1"/>
    </xf>
    <xf numFmtId="0" fontId="0" fillId="2" borderId="71" xfId="0" applyFill="1" applyBorder="1" applyAlignment="1" applyProtection="1">
      <alignment horizontal="center"/>
      <protection hidden="1"/>
    </xf>
    <xf numFmtId="168" fontId="11" fillId="12" borderId="0" xfId="6" quotePrefix="1" applyNumberFormat="1" applyFont="1" applyFill="1" applyAlignment="1" applyProtection="1">
      <alignment horizontal="center"/>
      <protection hidden="1"/>
    </xf>
    <xf numFmtId="0" fontId="80" fillId="2" borderId="0" xfId="2" applyFill="1">
      <alignment horizontal="left" vertical="center"/>
    </xf>
    <xf numFmtId="0" fontId="80" fillId="2" borderId="0" xfId="2" applyFill="1" applyProtection="1">
      <alignment horizontal="left" vertical="center"/>
      <protection hidden="1"/>
    </xf>
    <xf numFmtId="0" fontId="80" fillId="2" borderId="0" xfId="2" applyFill="1" applyProtection="1">
      <alignment horizontal="left" vertical="center"/>
    </xf>
    <xf numFmtId="0" fontId="80" fillId="6" borderId="0" xfId="2" applyFill="1">
      <alignment horizontal="left" vertical="center"/>
    </xf>
    <xf numFmtId="0" fontId="80" fillId="2" borderId="0" xfId="2" applyFill="1" applyBorder="1" applyProtection="1">
      <alignment horizontal="left" vertical="center"/>
      <protection hidden="1"/>
    </xf>
    <xf numFmtId="0" fontId="80" fillId="3" borderId="0" xfId="2" applyFill="1" applyProtection="1">
      <alignment horizontal="left" vertical="center"/>
    </xf>
    <xf numFmtId="0" fontId="80" fillId="0" borderId="0" xfId="2" applyFill="1" applyProtection="1">
      <alignment horizontal="left" vertical="center"/>
    </xf>
    <xf numFmtId="0" fontId="80" fillId="0" borderId="0" xfId="2" applyFill="1">
      <alignment horizontal="left" vertical="center"/>
    </xf>
    <xf numFmtId="0" fontId="80" fillId="0" borderId="0" xfId="2" applyFill="1" applyBorder="1" applyProtection="1">
      <alignment horizontal="left" vertical="center"/>
    </xf>
    <xf numFmtId="0" fontId="80" fillId="2" borderId="0" xfId="2" applyFill="1" applyBorder="1" applyProtection="1">
      <alignment horizontal="left" vertical="center"/>
    </xf>
    <xf numFmtId="0" fontId="80" fillId="0" borderId="0" xfId="2" applyFill="1" applyBorder="1">
      <alignment horizontal="left" vertical="center"/>
    </xf>
    <xf numFmtId="0" fontId="80" fillId="2" borderId="0" xfId="2" quotePrefix="1" applyFill="1" applyBorder="1" applyProtection="1">
      <alignment horizontal="left" vertical="center"/>
      <protection hidden="1"/>
    </xf>
    <xf numFmtId="0" fontId="84" fillId="0" borderId="0" xfId="10" applyFill="1" applyProtection="1">
      <alignment horizontal="center" vertical="center"/>
    </xf>
    <xf numFmtId="0" fontId="84" fillId="3" borderId="0" xfId="10" applyFill="1" applyProtection="1">
      <alignment horizontal="center" vertical="center"/>
    </xf>
    <xf numFmtId="0" fontId="84" fillId="0" borderId="0" xfId="10" applyFill="1">
      <alignment horizontal="center" vertical="center"/>
    </xf>
    <xf numFmtId="0" fontId="84" fillId="2" borderId="0" xfId="10" applyFill="1" applyProtection="1">
      <alignment horizontal="center" vertical="center"/>
    </xf>
    <xf numFmtId="0" fontId="84" fillId="0" borderId="0" xfId="10" applyFill="1" applyBorder="1" applyProtection="1">
      <alignment horizontal="center" vertical="center"/>
    </xf>
    <xf numFmtId="169" fontId="12" fillId="2" borderId="3" xfId="0" applyNumberFormat="1" applyFont="1" applyFill="1" applyBorder="1" applyAlignment="1" applyProtection="1">
      <alignment horizontal="center"/>
      <protection hidden="1"/>
    </xf>
    <xf numFmtId="0" fontId="84" fillId="2" borderId="0" xfId="10" applyFill="1">
      <alignment horizontal="center" vertical="center"/>
    </xf>
    <xf numFmtId="0" fontId="9" fillId="2" borderId="0" xfId="0" applyFont="1" applyFill="1" applyAlignment="1">
      <alignment wrapText="1"/>
    </xf>
    <xf numFmtId="0" fontId="84" fillId="2" borderId="0" xfId="10" applyFill="1" applyProtection="1">
      <alignment horizontal="center" vertical="center"/>
      <protection hidden="1"/>
    </xf>
    <xf numFmtId="0" fontId="84" fillId="6" borderId="0" xfId="10" applyFill="1">
      <alignment horizontal="center" vertical="center"/>
    </xf>
    <xf numFmtId="0" fontId="9" fillId="0" borderId="0" xfId="0" applyFont="1" applyAlignment="1">
      <alignment wrapText="1"/>
    </xf>
    <xf numFmtId="0" fontId="85" fillId="0" borderId="0" xfId="0" applyFont="1" applyAlignment="1">
      <alignment horizontal="left" vertical="center"/>
    </xf>
    <xf numFmtId="0" fontId="85" fillId="0" borderId="0" xfId="0" applyFont="1" applyAlignment="1">
      <alignment horizontal="center" vertical="center" wrapText="1"/>
    </xf>
    <xf numFmtId="0" fontId="85" fillId="0" borderId="0" xfId="0" applyFont="1" applyAlignment="1">
      <alignment horizontal="left" vertical="center" wrapText="1"/>
    </xf>
    <xf numFmtId="0" fontId="86" fillId="0" borderId="0" xfId="0" applyFont="1" applyAlignment="1">
      <alignment horizontal="left" vertical="center" wrapText="1"/>
    </xf>
    <xf numFmtId="0" fontId="87" fillId="0" borderId="0" xfId="0" applyFont="1" applyAlignment="1">
      <alignment horizontal="left" vertical="center" wrapText="1"/>
    </xf>
    <xf numFmtId="0" fontId="85" fillId="0" borderId="0" xfId="0" applyFont="1"/>
    <xf numFmtId="0" fontId="87" fillId="0" borderId="0" xfId="0" applyFont="1" applyAlignment="1">
      <alignment horizontal="center" vertical="center" wrapText="1"/>
    </xf>
    <xf numFmtId="0" fontId="85" fillId="13" borderId="79" xfId="0" applyFont="1" applyFill="1" applyBorder="1" applyAlignment="1">
      <alignment horizontal="center" vertical="center" wrapText="1"/>
    </xf>
    <xf numFmtId="0" fontId="87" fillId="13" borderId="69" xfId="0" applyFont="1" applyFill="1" applyBorder="1" applyAlignment="1">
      <alignment horizontal="center" vertical="center" wrapText="1"/>
    </xf>
    <xf numFmtId="0" fontId="88" fillId="13" borderId="69" xfId="0" applyFont="1" applyFill="1" applyBorder="1" applyAlignment="1">
      <alignment horizontal="center" vertical="center" wrapText="1"/>
    </xf>
    <xf numFmtId="0" fontId="87" fillId="13" borderId="71" xfId="0" applyFont="1" applyFill="1" applyBorder="1" applyAlignment="1">
      <alignment horizontal="center" vertical="center" wrapText="1"/>
    </xf>
    <xf numFmtId="0" fontId="85" fillId="0" borderId="0" xfId="0" applyFont="1" applyAlignment="1">
      <alignment vertical="center"/>
    </xf>
    <xf numFmtId="0" fontId="86" fillId="0" borderId="72" xfId="0" applyFont="1" applyBorder="1" applyAlignment="1">
      <alignment horizontal="center" vertical="center" wrapText="1"/>
    </xf>
    <xf numFmtId="0" fontId="85" fillId="0" borderId="73" xfId="0" applyFont="1" applyBorder="1" applyAlignment="1">
      <alignment horizontal="left" vertical="center" wrapText="1"/>
    </xf>
    <xf numFmtId="0" fontId="86" fillId="0" borderId="73" xfId="0" applyFont="1" applyBorder="1" applyAlignment="1">
      <alignment horizontal="left" vertical="center" wrapText="1"/>
    </xf>
    <xf numFmtId="0" fontId="87" fillId="0" borderId="73" xfId="0" applyFont="1" applyBorder="1" applyAlignment="1">
      <alignment horizontal="left" vertical="center" wrapText="1"/>
    </xf>
    <xf numFmtId="0" fontId="85" fillId="0" borderId="82" xfId="0" applyFont="1" applyBorder="1" applyAlignment="1">
      <alignment horizontal="left" vertical="center" wrapText="1"/>
    </xf>
    <xf numFmtId="0" fontId="85" fillId="0" borderId="3" xfId="0" applyFont="1" applyBorder="1" applyAlignment="1">
      <alignment horizontal="left" vertical="center" wrapText="1"/>
    </xf>
    <xf numFmtId="0" fontId="86" fillId="0" borderId="3" xfId="0" applyFont="1" applyBorder="1" applyAlignment="1">
      <alignment horizontal="left" vertical="center" wrapText="1"/>
    </xf>
    <xf numFmtId="0" fontId="87" fillId="0" borderId="3" xfId="0" applyFont="1" applyBorder="1" applyAlignment="1">
      <alignment horizontal="left" vertical="center" wrapText="1"/>
    </xf>
    <xf numFmtId="0" fontId="85" fillId="0" borderId="33" xfId="0" applyFont="1" applyBorder="1" applyAlignment="1">
      <alignment horizontal="left" vertical="center" wrapText="1"/>
    </xf>
    <xf numFmtId="0" fontId="89" fillId="0" borderId="3" xfId="0" applyFont="1" applyBorder="1" applyAlignment="1">
      <alignment horizontal="left" vertical="center" wrapText="1"/>
    </xf>
    <xf numFmtId="0" fontId="86" fillId="0" borderId="3" xfId="0" quotePrefix="1" applyFont="1" applyBorder="1" applyAlignment="1">
      <alignment horizontal="left" vertical="center" wrapText="1"/>
    </xf>
    <xf numFmtId="2" fontId="0" fillId="0" borderId="0" xfId="0" applyNumberFormat="1" applyAlignment="1">
      <alignment wrapText="1"/>
    </xf>
    <xf numFmtId="2" fontId="9" fillId="0" borderId="0" xfId="0" applyNumberFormat="1" applyFont="1" applyAlignment="1">
      <alignment wrapText="1"/>
    </xf>
    <xf numFmtId="3" fontId="0" fillId="0" borderId="2" xfId="0" applyNumberFormat="1" applyBorder="1" applyAlignment="1">
      <alignment horizontal="center"/>
    </xf>
    <xf numFmtId="169" fontId="0" fillId="2" borderId="0" xfId="0" applyNumberFormat="1" applyFill="1" applyAlignment="1">
      <alignment horizontal="left"/>
    </xf>
    <xf numFmtId="0" fontId="9" fillId="0" borderId="0" xfId="11"/>
    <xf numFmtId="0" fontId="9" fillId="2" borderId="0" xfId="0" applyFont="1" applyFill="1" applyAlignment="1">
      <alignment horizontal="center" vertical="center"/>
    </xf>
    <xf numFmtId="0" fontId="9" fillId="0" borderId="0" xfId="11" applyAlignment="1">
      <alignment vertical="center"/>
    </xf>
    <xf numFmtId="0" fontId="9" fillId="2" borderId="0" xfId="0" applyFont="1" applyFill="1" applyAlignment="1">
      <alignment vertical="center"/>
    </xf>
    <xf numFmtId="169" fontId="0" fillId="2" borderId="0" xfId="0" quotePrefix="1" applyNumberFormat="1" applyFill="1" applyAlignment="1">
      <alignment horizontal="right"/>
    </xf>
    <xf numFmtId="169" fontId="9" fillId="0" borderId="0" xfId="11" applyNumberFormat="1"/>
    <xf numFmtId="169" fontId="9" fillId="2" borderId="0" xfId="0" applyNumberFormat="1" applyFont="1" applyFill="1" applyAlignment="1">
      <alignment horizontal="right"/>
    </xf>
    <xf numFmtId="169" fontId="91" fillId="0" borderId="0" xfId="0" applyNumberFormat="1" applyFont="1" applyAlignment="1">
      <alignment horizontal="center"/>
    </xf>
    <xf numFmtId="169" fontId="0" fillId="2" borderId="0" xfId="0" applyNumberFormat="1" applyFill="1"/>
    <xf numFmtId="169" fontId="0" fillId="2" borderId="0" xfId="0" applyNumberFormat="1" applyFill="1" applyAlignment="1">
      <alignment horizontal="right"/>
    </xf>
    <xf numFmtId="169" fontId="9" fillId="2" borderId="0" xfId="0" applyNumberFormat="1" applyFont="1" applyFill="1" applyAlignment="1">
      <alignment horizontal="center"/>
    </xf>
    <xf numFmtId="169" fontId="9" fillId="2" borderId="0" xfId="0" quotePrefix="1" applyNumberFormat="1" applyFont="1" applyFill="1"/>
    <xf numFmtId="2" fontId="0" fillId="2" borderId="0" xfId="0" applyNumberFormat="1" applyFill="1" applyAlignment="1">
      <alignment horizontal="left"/>
    </xf>
    <xf numFmtId="1" fontId="9" fillId="0" borderId="0" xfId="11" applyNumberFormat="1" applyAlignment="1">
      <alignment horizontal="center" vertical="center"/>
    </xf>
    <xf numFmtId="169" fontId="12" fillId="2" borderId="0" xfId="0" applyNumberFormat="1" applyFont="1" applyFill="1"/>
    <xf numFmtId="0" fontId="9" fillId="2" borderId="0" xfId="0" quotePrefix="1" applyFont="1" applyFill="1" applyAlignment="1">
      <alignment horizontal="center"/>
    </xf>
    <xf numFmtId="0" fontId="0" fillId="14" borderId="0" xfId="0" applyFill="1"/>
    <xf numFmtId="0" fontId="0" fillId="14" borderId="0" xfId="0" applyFill="1" applyAlignment="1">
      <alignment horizontal="right"/>
    </xf>
    <xf numFmtId="9" fontId="0" fillId="14" borderId="0" xfId="0" applyNumberFormat="1" applyFill="1" applyAlignment="1">
      <alignment horizontal="center"/>
    </xf>
    <xf numFmtId="0" fontId="0" fillId="14" borderId="0" xfId="0" applyFill="1" applyAlignment="1">
      <alignment horizontal="center"/>
    </xf>
    <xf numFmtId="0" fontId="80" fillId="14" borderId="0" xfId="2" applyFill="1">
      <alignment horizontal="left" vertical="center"/>
    </xf>
    <xf numFmtId="0" fontId="9" fillId="0" borderId="0" xfId="0" applyFont="1"/>
    <xf numFmtId="168" fontId="0" fillId="14" borderId="0" xfId="0" applyNumberFormat="1" applyFill="1" applyAlignment="1">
      <alignment horizontal="center"/>
    </xf>
    <xf numFmtId="0" fontId="30" fillId="14" borderId="0" xfId="0" applyFont="1" applyFill="1" applyAlignment="1">
      <alignment horizontal="right"/>
    </xf>
    <xf numFmtId="0" fontId="9" fillId="14" borderId="0" xfId="0" applyFont="1" applyFill="1"/>
    <xf numFmtId="2" fontId="9" fillId="0" borderId="0" xfId="0" applyNumberFormat="1" applyFont="1" applyAlignment="1">
      <alignment horizontal="left" vertical="center" wrapText="1"/>
    </xf>
    <xf numFmtId="2" fontId="0" fillId="0" borderId="0" xfId="0" applyNumberFormat="1" applyAlignment="1">
      <alignment horizontal="left" vertical="center" wrapText="1"/>
    </xf>
    <xf numFmtId="0" fontId="9" fillId="14" borderId="31" xfId="0" applyFont="1" applyFill="1" applyBorder="1"/>
    <xf numFmtId="0" fontId="0" fillId="14" borderId="31" xfId="0" applyFill="1" applyBorder="1"/>
    <xf numFmtId="0" fontId="0" fillId="14" borderId="31" xfId="0" applyFill="1" applyBorder="1" applyAlignment="1">
      <alignment horizontal="right"/>
    </xf>
    <xf numFmtId="1" fontId="30" fillId="14" borderId="0" xfId="0" applyNumberFormat="1" applyFont="1" applyFill="1" applyAlignment="1">
      <alignment horizontal="center"/>
    </xf>
    <xf numFmtId="0" fontId="9" fillId="2" borderId="0" xfId="0" applyFont="1" applyFill="1" applyProtection="1">
      <protection hidden="1"/>
    </xf>
    <xf numFmtId="0" fontId="9" fillId="0" borderId="28" xfId="0" applyFont="1" applyBorder="1"/>
    <xf numFmtId="0" fontId="36" fillId="0" borderId="0" xfId="0" applyFont="1" applyAlignment="1">
      <alignment horizontal="left"/>
    </xf>
    <xf numFmtId="0" fontId="9" fillId="6" borderId="0" xfId="0" applyFont="1" applyFill="1"/>
    <xf numFmtId="0" fontId="94" fillId="6" borderId="0" xfId="2" applyFont="1" applyFill="1">
      <alignment horizontal="left" vertical="center"/>
    </xf>
    <xf numFmtId="0" fontId="11" fillId="2" borderId="0" xfId="0" applyFont="1" applyFill="1" applyAlignment="1" applyProtection="1">
      <alignment horizontal="left"/>
      <protection hidden="1"/>
    </xf>
    <xf numFmtId="169" fontId="12" fillId="6" borderId="3" xfId="0" applyNumberFormat="1" applyFont="1" applyFill="1" applyBorder="1" applyAlignment="1">
      <alignment horizontal="center"/>
    </xf>
    <xf numFmtId="0" fontId="83" fillId="6" borderId="0" xfId="0" applyFont="1" applyFill="1"/>
    <xf numFmtId="0" fontId="83" fillId="2" borderId="0" xfId="0" applyFont="1" applyFill="1" applyProtection="1">
      <protection hidden="1"/>
    </xf>
    <xf numFmtId="169" fontId="83" fillId="2" borderId="0" xfId="0" applyNumberFormat="1" applyFont="1" applyFill="1" applyAlignment="1" applyProtection="1">
      <alignment horizontal="left"/>
      <protection hidden="1"/>
    </xf>
    <xf numFmtId="0" fontId="0" fillId="12" borderId="0" xfId="0" applyFill="1" applyProtection="1">
      <protection hidden="1"/>
    </xf>
    <xf numFmtId="0" fontId="80" fillId="12" borderId="0" xfId="2" applyFill="1" applyProtection="1">
      <alignment horizontal="left" vertical="center"/>
      <protection hidden="1"/>
    </xf>
    <xf numFmtId="0" fontId="0" fillId="12" borderId="0" xfId="0" applyFill="1"/>
    <xf numFmtId="2" fontId="0" fillId="12" borderId="0" xfId="0" applyNumberFormat="1" applyFill="1" applyProtection="1">
      <protection hidden="1"/>
    </xf>
    <xf numFmtId="0" fontId="9" fillId="2" borderId="0" xfId="0" applyFont="1" applyFill="1"/>
    <xf numFmtId="0" fontId="9" fillId="12" borderId="0" xfId="0" applyFont="1" applyFill="1" applyAlignment="1">
      <alignment horizontal="center"/>
    </xf>
    <xf numFmtId="0" fontId="0" fillId="12" borderId="0" xfId="0" applyFill="1" applyAlignment="1">
      <alignment horizontal="center"/>
    </xf>
    <xf numFmtId="0" fontId="9" fillId="2" borderId="0" xfId="0" applyFont="1" applyFill="1" applyAlignment="1">
      <alignment horizontal="center"/>
    </xf>
    <xf numFmtId="0" fontId="12" fillId="12" borderId="0" xfId="0" applyFont="1" applyFill="1" applyAlignment="1">
      <alignment horizontal="center"/>
    </xf>
    <xf numFmtId="0" fontId="9" fillId="2" borderId="0" xfId="0" applyFont="1" applyFill="1" applyAlignment="1">
      <alignment horizontal="right"/>
    </xf>
    <xf numFmtId="2" fontId="9" fillId="4" borderId="0" xfId="0" applyNumberFormat="1" applyFont="1" applyFill="1" applyAlignment="1" applyProtection="1">
      <alignment horizontal="center"/>
      <protection locked="0"/>
    </xf>
    <xf numFmtId="0" fontId="49" fillId="12" borderId="0" xfId="0" applyFont="1" applyFill="1" applyProtection="1">
      <protection hidden="1"/>
    </xf>
    <xf numFmtId="0" fontId="0" fillId="12" borderId="0" xfId="0" applyFill="1" applyAlignment="1" applyProtection="1">
      <alignment horizontal="center"/>
      <protection hidden="1"/>
    </xf>
    <xf numFmtId="0" fontId="48" fillId="12" borderId="0" xfId="0" applyFont="1" applyFill="1" applyProtection="1">
      <protection hidden="1"/>
    </xf>
    <xf numFmtId="0" fontId="12" fillId="12" borderId="0" xfId="0" applyFont="1" applyFill="1" applyProtection="1">
      <protection hidden="1"/>
    </xf>
    <xf numFmtId="0" fontId="9" fillId="12" borderId="0" xfId="0" applyFont="1" applyFill="1" applyProtection="1">
      <protection hidden="1"/>
    </xf>
    <xf numFmtId="0" fontId="9" fillId="12" borderId="0" xfId="0" applyFont="1" applyFill="1" applyAlignment="1" applyProtection="1">
      <alignment horizontal="right"/>
      <protection hidden="1"/>
    </xf>
    <xf numFmtId="0" fontId="9" fillId="12" borderId="0" xfId="0" quotePrefix="1" applyFont="1" applyFill="1" applyProtection="1">
      <protection hidden="1"/>
    </xf>
    <xf numFmtId="0" fontId="11" fillId="12" borderId="0" xfId="0" applyFont="1" applyFill="1" applyAlignment="1" applyProtection="1">
      <alignment horizontal="center"/>
      <protection hidden="1"/>
    </xf>
    <xf numFmtId="1" fontId="23" fillId="2" borderId="3" xfId="0" applyNumberFormat="1" applyFont="1" applyFill="1" applyBorder="1" applyProtection="1">
      <protection hidden="1"/>
    </xf>
    <xf numFmtId="3" fontId="23" fillId="2" borderId="3" xfId="0" applyNumberFormat="1" applyFont="1" applyFill="1" applyBorder="1" applyProtection="1">
      <protection hidden="1"/>
    </xf>
    <xf numFmtId="0" fontId="9" fillId="6" borderId="0" xfId="0" applyFont="1" applyFill="1" applyAlignment="1">
      <alignment horizontal="right"/>
    </xf>
    <xf numFmtId="0" fontId="82" fillId="2" borderId="0" xfId="0" applyFont="1" applyFill="1" applyAlignment="1" applyProtection="1">
      <alignment wrapText="1"/>
      <protection hidden="1"/>
    </xf>
    <xf numFmtId="0" fontId="9" fillId="2" borderId="0" xfId="0" applyFont="1" applyFill="1" applyAlignment="1" applyProtection="1">
      <alignment horizontal="left" vertical="center"/>
      <protection hidden="1"/>
    </xf>
    <xf numFmtId="0" fontId="9" fillId="6" borderId="0" xfId="0" applyFont="1" applyFill="1" applyAlignment="1">
      <alignment vertical="center"/>
    </xf>
    <xf numFmtId="3" fontId="9" fillId="6" borderId="3" xfId="0" applyNumberFormat="1" applyFont="1" applyFill="1" applyBorder="1" applyAlignment="1">
      <alignment horizontal="center"/>
    </xf>
    <xf numFmtId="0" fontId="83" fillId="2" borderId="0" xfId="0" applyFont="1" applyFill="1" applyAlignment="1" applyProtection="1">
      <alignment wrapText="1"/>
      <protection hidden="1"/>
    </xf>
    <xf numFmtId="0" fontId="83" fillId="0" borderId="0" xfId="0" quotePrefix="1" applyFont="1" applyAlignment="1">
      <alignment horizontal="center" textRotation="180"/>
    </xf>
    <xf numFmtId="2" fontId="9" fillId="4" borderId="3" xfId="0" applyNumberFormat="1" applyFont="1" applyFill="1" applyBorder="1" applyAlignment="1" applyProtection="1">
      <alignment horizontal="center"/>
      <protection locked="0"/>
    </xf>
    <xf numFmtId="0" fontId="96" fillId="2" borderId="0" xfId="0" applyFont="1" applyFill="1" applyProtection="1">
      <protection hidden="1"/>
    </xf>
    <xf numFmtId="0" fontId="30" fillId="2" borderId="3" xfId="0" applyFont="1" applyFill="1" applyBorder="1" applyAlignment="1" applyProtection="1">
      <alignment horizontal="center"/>
      <protection hidden="1"/>
    </xf>
    <xf numFmtId="0" fontId="30" fillId="0" borderId="0" xfId="0" quotePrefix="1" applyFont="1"/>
    <xf numFmtId="0" fontId="9" fillId="0" borderId="0" xfId="0" applyFont="1" applyAlignment="1">
      <alignment horizontal="right"/>
    </xf>
    <xf numFmtId="0" fontId="11" fillId="2" borderId="0" xfId="0" applyFont="1" applyFill="1" applyProtection="1">
      <protection hidden="1"/>
    </xf>
    <xf numFmtId="3" fontId="9" fillId="2" borderId="0" xfId="0" applyNumberFormat="1" applyFont="1" applyFill="1" applyAlignment="1" applyProtection="1">
      <alignment horizontal="center" vertical="center" wrapText="1"/>
      <protection hidden="1"/>
    </xf>
    <xf numFmtId="167" fontId="0" fillId="2" borderId="0" xfId="0" applyNumberFormat="1" applyFill="1" applyAlignment="1" applyProtection="1">
      <alignment horizontal="center" wrapText="1"/>
      <protection hidden="1"/>
    </xf>
    <xf numFmtId="0" fontId="27" fillId="2" borderId="0" xfId="0" applyFont="1" applyFill="1" applyAlignment="1" applyProtection="1">
      <alignment horizontal="center" vertical="top" wrapText="1"/>
      <protection hidden="1"/>
    </xf>
    <xf numFmtId="0" fontId="9" fillId="2" borderId="0" xfId="0" applyFont="1" applyFill="1" applyAlignment="1" applyProtection="1">
      <alignment vertical="top" wrapText="1"/>
      <protection hidden="1"/>
    </xf>
    <xf numFmtId="0" fontId="0" fillId="2" borderId="0" xfId="0" applyFill="1" applyAlignment="1" applyProtection="1">
      <alignment vertical="top" wrapText="1"/>
      <protection hidden="1"/>
    </xf>
    <xf numFmtId="0" fontId="9" fillId="2" borderId="0" xfId="0" applyFont="1" applyFill="1" applyAlignment="1" applyProtection="1">
      <alignment horizontal="right" vertical="top"/>
      <protection hidden="1"/>
    </xf>
    <xf numFmtId="3" fontId="0" fillId="2" borderId="3" xfId="0" applyNumberFormat="1" applyFill="1" applyBorder="1" applyAlignment="1" applyProtection="1">
      <alignment horizontal="center" vertical="top" wrapText="1"/>
      <protection hidden="1"/>
    </xf>
    <xf numFmtId="2" fontId="9" fillId="0" borderId="0" xfId="0" applyNumberFormat="1" applyFont="1" applyAlignment="1">
      <alignment horizontal="right"/>
    </xf>
    <xf numFmtId="2" fontId="0" fillId="0" borderId="0" xfId="0" applyNumberFormat="1" applyAlignment="1">
      <alignment horizontal="right"/>
    </xf>
    <xf numFmtId="2" fontId="87" fillId="0" borderId="3" xfId="0" applyNumberFormat="1" applyFont="1" applyBorder="1" applyAlignment="1">
      <alignment horizontal="left" vertical="center" wrapText="1"/>
    </xf>
    <xf numFmtId="2" fontId="0" fillId="0" borderId="0" xfId="0" applyNumberFormat="1" applyAlignment="1">
      <alignment horizontal="right" wrapText="1"/>
    </xf>
    <xf numFmtId="0" fontId="9" fillId="0" borderId="0" xfId="17" applyAlignment="1">
      <alignment horizontal="center"/>
    </xf>
    <xf numFmtId="0" fontId="99" fillId="0" borderId="0" xfId="3" applyFont="1" applyAlignment="1" applyProtection="1">
      <alignment horizontal="left"/>
    </xf>
    <xf numFmtId="0" fontId="9" fillId="2" borderId="0" xfId="19" applyFill="1" applyAlignment="1">
      <alignment horizontal="right"/>
    </xf>
    <xf numFmtId="0" fontId="54" fillId="2" borderId="0" xfId="19" applyFont="1" applyFill="1"/>
    <xf numFmtId="0" fontId="11" fillId="2" borderId="0" xfId="19" applyFont="1" applyFill="1" applyAlignment="1" applyProtection="1">
      <alignment horizontal="center"/>
      <protection hidden="1"/>
    </xf>
    <xf numFmtId="0" fontId="54" fillId="2" borderId="0" xfId="19" applyFont="1" applyFill="1" applyProtection="1">
      <protection hidden="1"/>
    </xf>
    <xf numFmtId="1" fontId="100" fillId="2" borderId="0" xfId="19" applyNumberFormat="1" applyFont="1" applyFill="1" applyProtection="1">
      <protection hidden="1"/>
    </xf>
    <xf numFmtId="3" fontId="12" fillId="2" borderId="3" xfId="0" applyNumberFormat="1" applyFont="1" applyFill="1" applyBorder="1" applyAlignment="1" applyProtection="1">
      <alignment horizontal="center" vertical="center" wrapText="1"/>
      <protection hidden="1"/>
    </xf>
    <xf numFmtId="0" fontId="12" fillId="2" borderId="3" xfId="0" applyFont="1" applyFill="1" applyBorder="1" applyAlignment="1" applyProtection="1">
      <alignment horizontal="center" wrapText="1"/>
      <protection hidden="1"/>
    </xf>
    <xf numFmtId="0" fontId="11" fillId="2" borderId="0" xfId="0" applyFont="1" applyFill="1" applyAlignment="1" applyProtection="1">
      <alignment horizontal="left" vertical="top"/>
      <protection hidden="1"/>
    </xf>
    <xf numFmtId="0" fontId="9" fillId="2" borderId="0" xfId="0" applyFont="1" applyFill="1" applyAlignment="1" applyProtection="1">
      <alignment horizontal="left" vertical="top" wrapText="1"/>
      <protection hidden="1"/>
    </xf>
    <xf numFmtId="0" fontId="9" fillId="2" borderId="0" xfId="0" applyFont="1" applyFill="1" applyAlignment="1" applyProtection="1">
      <alignment horizontal="right" vertical="top" wrapText="1"/>
      <protection hidden="1"/>
    </xf>
    <xf numFmtId="0" fontId="9" fillId="2" borderId="2" xfId="0" applyFont="1" applyFill="1" applyBorder="1" applyAlignment="1" applyProtection="1">
      <alignment horizontal="center" vertical="top" wrapText="1"/>
      <protection hidden="1"/>
    </xf>
    <xf numFmtId="0" fontId="11" fillId="2" borderId="0" xfId="0" applyFont="1" applyFill="1" applyAlignment="1" applyProtection="1">
      <alignment horizontal="center" vertical="top" wrapText="1"/>
      <protection hidden="1"/>
    </xf>
    <xf numFmtId="0" fontId="12" fillId="2" borderId="0" xfId="0" applyFont="1" applyFill="1" applyAlignment="1" applyProtection="1">
      <alignment horizontal="left" vertical="top"/>
      <protection hidden="1"/>
    </xf>
    <xf numFmtId="0" fontId="105" fillId="2" borderId="0" xfId="0" applyFont="1" applyFill="1" applyAlignment="1" applyProtection="1">
      <alignment horizontal="left" vertical="top"/>
      <protection hidden="1"/>
    </xf>
    <xf numFmtId="0" fontId="12" fillId="2" borderId="0" xfId="0" applyFont="1" applyFill="1" applyAlignment="1" applyProtection="1">
      <alignment horizontal="right" vertical="top"/>
      <protection hidden="1"/>
    </xf>
    <xf numFmtId="0" fontId="12" fillId="2" borderId="0" xfId="0" applyFont="1" applyFill="1" applyAlignment="1">
      <alignment horizontal="center" vertical="center"/>
    </xf>
    <xf numFmtId="167" fontId="12" fillId="2" borderId="0" xfId="0" applyNumberFormat="1" applyFont="1" applyFill="1" applyAlignment="1">
      <alignment horizontal="center" vertical="center"/>
    </xf>
    <xf numFmtId="0" fontId="12" fillId="2" borderId="0" xfId="2" applyFont="1" applyFill="1">
      <alignment horizontal="left" vertical="center"/>
    </xf>
    <xf numFmtId="0" fontId="44" fillId="0" borderId="0" xfId="0" applyFont="1" applyAlignment="1">
      <alignment wrapText="1"/>
    </xf>
    <xf numFmtId="4" fontId="0" fillId="0" borderId="0" xfId="0" applyNumberFormat="1" applyAlignment="1">
      <alignment vertical="center"/>
    </xf>
    <xf numFmtId="1" fontId="30" fillId="2" borderId="0" xfId="0" applyNumberFormat="1" applyFont="1" applyFill="1" applyAlignment="1" applyProtection="1">
      <alignment horizontal="center"/>
      <protection hidden="1"/>
    </xf>
    <xf numFmtId="1" fontId="30" fillId="0" borderId="3" xfId="0" applyNumberFormat="1" applyFont="1" applyBorder="1" applyAlignment="1">
      <alignment horizontal="center"/>
    </xf>
    <xf numFmtId="0" fontId="9" fillId="0" borderId="0" xfId="0" quotePrefix="1" applyFont="1" applyAlignment="1">
      <alignment horizontal="center"/>
    </xf>
    <xf numFmtId="1" fontId="30" fillId="2" borderId="3" xfId="0" applyNumberFormat="1" applyFont="1" applyFill="1" applyBorder="1" applyAlignment="1" applyProtection="1">
      <alignment horizontal="center"/>
      <protection hidden="1"/>
    </xf>
    <xf numFmtId="168" fontId="12" fillId="2" borderId="0" xfId="0" applyNumberFormat="1" applyFont="1" applyFill="1" applyAlignment="1" applyProtection="1">
      <alignment horizontal="center"/>
      <protection hidden="1"/>
    </xf>
    <xf numFmtId="166" fontId="9" fillId="0" borderId="0" xfId="0" applyNumberFormat="1" applyFont="1"/>
    <xf numFmtId="0" fontId="28" fillId="2" borderId="0" xfId="0" applyFont="1" applyFill="1" applyProtection="1">
      <protection hidden="1"/>
    </xf>
    <xf numFmtId="0" fontId="72" fillId="0" borderId="0" xfId="6" applyFont="1" applyAlignment="1">
      <alignment vertical="center"/>
    </xf>
    <xf numFmtId="166" fontId="9" fillId="0" borderId="29" xfId="0" applyNumberFormat="1" applyFont="1" applyBorder="1" applyAlignment="1">
      <alignment horizontal="right"/>
    </xf>
    <xf numFmtId="0" fontId="9" fillId="0" borderId="59" xfId="0" quotePrefix="1" applyFont="1" applyBorder="1" applyAlignment="1">
      <alignment horizontal="left"/>
    </xf>
    <xf numFmtId="0" fontId="9" fillId="2" borderId="0" xfId="0" applyFont="1" applyFill="1" applyAlignment="1">
      <alignment horizontal="left"/>
    </xf>
    <xf numFmtId="2" fontId="12" fillId="2" borderId="3" xfId="0" applyNumberFormat="1" applyFont="1" applyFill="1" applyBorder="1" applyAlignment="1" applyProtection="1">
      <alignment horizontal="center"/>
      <protection hidden="1"/>
    </xf>
    <xf numFmtId="0" fontId="93" fillId="0" borderId="0" xfId="0" applyFont="1" applyAlignment="1">
      <alignment horizontal="right" vertical="top"/>
    </xf>
    <xf numFmtId="168" fontId="30" fillId="0" borderId="0" xfId="0" applyNumberFormat="1" applyFont="1" applyAlignment="1">
      <alignment horizontal="center"/>
    </xf>
    <xf numFmtId="0" fontId="28" fillId="2" borderId="0" xfId="0" applyFont="1" applyFill="1" applyAlignment="1" applyProtection="1">
      <alignment vertical="center"/>
      <protection hidden="1"/>
    </xf>
    <xf numFmtId="0" fontId="9" fillId="2" borderId="0" xfId="0" applyFont="1" applyFill="1" applyAlignment="1" applyProtection="1">
      <alignment vertical="center"/>
      <protection hidden="1"/>
    </xf>
    <xf numFmtId="0" fontId="28" fillId="2" borderId="0" xfId="0" applyFont="1" applyFill="1" applyAlignment="1" applyProtection="1">
      <alignment horizontal="right"/>
      <protection hidden="1"/>
    </xf>
    <xf numFmtId="0" fontId="42" fillId="0" borderId="0" xfId="0" applyFont="1" applyAlignment="1">
      <alignment horizontal="left"/>
    </xf>
    <xf numFmtId="166" fontId="0" fillId="0" borderId="14" xfId="0" applyNumberFormat="1" applyBorder="1"/>
    <xf numFmtId="167" fontId="0" fillId="0" borderId="14" xfId="0" applyNumberFormat="1" applyBorder="1" applyAlignment="1">
      <alignment horizontal="center"/>
    </xf>
    <xf numFmtId="167" fontId="0" fillId="0" borderId="14" xfId="0" applyNumberFormat="1" applyBorder="1"/>
    <xf numFmtId="0" fontId="0" fillId="0" borderId="14" xfId="0" applyBorder="1" applyAlignment="1">
      <alignment horizontal="center"/>
    </xf>
    <xf numFmtId="1" fontId="0" fillId="0" borderId="14" xfId="0" applyNumberFormat="1" applyBorder="1"/>
    <xf numFmtId="0" fontId="0" fillId="0" borderId="14" xfId="0" applyBorder="1"/>
    <xf numFmtId="2" fontId="0" fillId="0" borderId="14" xfId="0" applyNumberFormat="1" applyBorder="1"/>
    <xf numFmtId="0" fontId="92" fillId="0" borderId="14" xfId="0" applyFont="1" applyBorder="1" applyAlignment="1">
      <alignment horizontal="left"/>
    </xf>
    <xf numFmtId="0" fontId="92" fillId="0" borderId="50" xfId="0" applyFont="1" applyBorder="1" applyAlignment="1">
      <alignment horizontal="left"/>
    </xf>
    <xf numFmtId="0" fontId="9" fillId="0" borderId="0" xfId="0" applyFont="1" applyAlignment="1">
      <alignment horizontal="left"/>
    </xf>
    <xf numFmtId="9" fontId="0" fillId="0" borderId="0" xfId="7" applyFont="1" applyFill="1" applyBorder="1" applyAlignment="1" applyProtection="1">
      <alignment horizontal="left"/>
    </xf>
    <xf numFmtId="0" fontId="92" fillId="0" borderId="0" xfId="0" applyFont="1"/>
    <xf numFmtId="169" fontId="46" fillId="0" borderId="0" xfId="0" applyNumberFormat="1" applyFont="1" applyAlignment="1">
      <alignment horizontal="left"/>
    </xf>
    <xf numFmtId="0" fontId="9" fillId="0" borderId="0" xfId="6" applyFont="1" applyAlignment="1">
      <alignment horizontal="right"/>
    </xf>
    <xf numFmtId="0" fontId="83" fillId="0" borderId="0" xfId="19" applyFont="1"/>
    <xf numFmtId="0" fontId="111" fillId="3" borderId="0" xfId="6" applyFont="1" applyFill="1"/>
    <xf numFmtId="0" fontId="9" fillId="0" borderId="31" xfId="6" applyFont="1" applyBorder="1" applyAlignment="1">
      <alignment wrapText="1"/>
    </xf>
    <xf numFmtId="0" fontId="9" fillId="0" borderId="36" xfId="19" applyBorder="1"/>
    <xf numFmtId="0" fontId="9" fillId="0" borderId="7" xfId="19" applyBorder="1"/>
    <xf numFmtId="0" fontId="9" fillId="0" borderId="0" xfId="19" applyAlignment="1">
      <alignment horizontal="center"/>
    </xf>
    <xf numFmtId="0" fontId="9" fillId="0" borderId="16" xfId="19" applyBorder="1" applyAlignment="1">
      <alignment horizontal="center"/>
    </xf>
    <xf numFmtId="0" fontId="9" fillId="0" borderId="0" xfId="19"/>
    <xf numFmtId="0" fontId="9" fillId="0" borderId="0" xfId="19" applyAlignment="1">
      <alignment horizontal="left" wrapText="1"/>
    </xf>
    <xf numFmtId="0" fontId="12" fillId="0" borderId="0" xfId="19" applyFont="1" applyAlignment="1">
      <alignment vertical="top"/>
    </xf>
    <xf numFmtId="0" fontId="112" fillId="0" borderId="4" xfId="19" applyFont="1" applyBorder="1"/>
    <xf numFmtId="0" fontId="112" fillId="0" borderId="7" xfId="19" applyFont="1" applyBorder="1"/>
    <xf numFmtId="0" fontId="9" fillId="0" borderId="4" xfId="19" applyBorder="1"/>
    <xf numFmtId="0" fontId="12" fillId="0" borderId="6" xfId="19" applyFont="1" applyBorder="1" applyAlignment="1">
      <alignment horizontal="left"/>
    </xf>
    <xf numFmtId="0" fontId="12" fillId="0" borderId="15" xfId="19" applyFont="1" applyBorder="1" applyAlignment="1">
      <alignment horizontal="left"/>
    </xf>
    <xf numFmtId="0" fontId="12" fillId="0" borderId="7" xfId="19" applyFont="1" applyBorder="1"/>
    <xf numFmtId="0" fontId="12" fillId="0" borderId="6" xfId="19" applyFont="1" applyBorder="1"/>
    <xf numFmtId="0" fontId="12" fillId="0" borderId="16" xfId="19" applyFont="1" applyBorder="1" applyAlignment="1">
      <alignment horizontal="left"/>
    </xf>
    <xf numFmtId="0" fontId="9" fillId="0" borderId="8" xfId="19" applyBorder="1"/>
    <xf numFmtId="0" fontId="9" fillId="0" borderId="15" xfId="19" applyBorder="1"/>
    <xf numFmtId="0" fontId="9" fillId="0" borderId="6" xfId="19" applyBorder="1"/>
    <xf numFmtId="0" fontId="12" fillId="0" borderId="4" xfId="19" applyFont="1" applyBorder="1"/>
    <xf numFmtId="0" fontId="12" fillId="0" borderId="0" xfId="19" applyFont="1"/>
    <xf numFmtId="0" fontId="12" fillId="0" borderId="4" xfId="19" applyFont="1" applyBorder="1" applyAlignment="1">
      <alignment horizontal="center"/>
    </xf>
    <xf numFmtId="0" fontId="72" fillId="0" borderId="0" xfId="19" applyFont="1" applyAlignment="1">
      <alignment horizontal="center" vertical="center"/>
    </xf>
    <xf numFmtId="0" fontId="12" fillId="0" borderId="0" xfId="19" applyFont="1" applyAlignment="1">
      <alignment horizontal="left"/>
    </xf>
    <xf numFmtId="0" fontId="12" fillId="0" borderId="0" xfId="19" applyFont="1" applyAlignment="1">
      <alignment horizontal="center"/>
    </xf>
    <xf numFmtId="0" fontId="9" fillId="0" borderId="16" xfId="19" applyBorder="1"/>
    <xf numFmtId="0" fontId="9" fillId="0" borderId="19" xfId="19" applyBorder="1"/>
    <xf numFmtId="0" fontId="12" fillId="0" borderId="0" xfId="19" applyFont="1" applyAlignment="1">
      <alignment horizontal="left" vertical="center"/>
    </xf>
    <xf numFmtId="0" fontId="9" fillId="0" borderId="0" xfId="6" applyFont="1"/>
    <xf numFmtId="0" fontId="12" fillId="0" borderId="0" xfId="17" applyFont="1" applyAlignment="1" applyProtection="1">
      <alignment horizontal="left" vertical="top"/>
      <protection locked="0"/>
    </xf>
    <xf numFmtId="0" fontId="92" fillId="0" borderId="91" xfId="0" applyFont="1" applyBorder="1"/>
    <xf numFmtId="166" fontId="0" fillId="0" borderId="13" xfId="0" applyNumberFormat="1" applyBorder="1"/>
    <xf numFmtId="167" fontId="0" fillId="0" borderId="13" xfId="0" applyNumberFormat="1" applyBorder="1" applyAlignment="1">
      <alignment horizontal="center"/>
    </xf>
    <xf numFmtId="167" fontId="0" fillId="0" borderId="13" xfId="0" applyNumberFormat="1" applyBorder="1"/>
    <xf numFmtId="0" fontId="0" fillId="0" borderId="13" xfId="0" applyBorder="1" applyAlignment="1">
      <alignment horizontal="center"/>
    </xf>
    <xf numFmtId="1" fontId="0" fillId="0" borderId="13" xfId="0" applyNumberFormat="1" applyBorder="1"/>
    <xf numFmtId="2" fontId="0" fillId="0" borderId="13" xfId="0" applyNumberFormat="1" applyBorder="1"/>
    <xf numFmtId="0" fontId="92" fillId="0" borderId="13" xfId="0" applyFont="1" applyBorder="1"/>
    <xf numFmtId="0" fontId="92" fillId="0" borderId="92" xfId="0" applyFont="1" applyBorder="1"/>
    <xf numFmtId="0" fontId="0" fillId="0" borderId="11" xfId="0" applyBorder="1"/>
    <xf numFmtId="0" fontId="92" fillId="0" borderId="91" xfId="0" applyFont="1" applyBorder="1" applyAlignment="1">
      <alignment horizontal="left"/>
    </xf>
    <xf numFmtId="0" fontId="28" fillId="2" borderId="0" xfId="0" applyFont="1" applyFill="1" applyAlignment="1" applyProtection="1">
      <alignment vertical="center" wrapText="1"/>
      <protection hidden="1"/>
    </xf>
    <xf numFmtId="0" fontId="12" fillId="3" borderId="0" xfId="0" applyFont="1" applyFill="1" applyProtection="1">
      <protection hidden="1"/>
    </xf>
    <xf numFmtId="0" fontId="13" fillId="2" borderId="32" xfId="0" applyFont="1" applyFill="1" applyBorder="1" applyAlignment="1" applyProtection="1">
      <alignment horizontal="right" wrapText="1"/>
      <protection hidden="1"/>
    </xf>
    <xf numFmtId="0" fontId="13" fillId="2" borderId="69" xfId="10" applyFont="1" applyFill="1" applyBorder="1">
      <alignment horizontal="center" vertical="center"/>
    </xf>
    <xf numFmtId="0" fontId="13" fillId="2" borderId="69" xfId="0" applyFont="1" applyFill="1" applyBorder="1" applyAlignment="1">
      <alignment horizontal="center"/>
    </xf>
    <xf numFmtId="0" fontId="83" fillId="2" borderId="0" xfId="2" applyFont="1" applyFill="1" applyProtection="1">
      <alignment horizontal="left" vertical="center"/>
      <protection hidden="1"/>
    </xf>
    <xf numFmtId="0" fontId="96" fillId="2" borderId="0" xfId="10" applyFont="1" applyFill="1">
      <alignment horizontal="center" vertical="center"/>
    </xf>
    <xf numFmtId="0" fontId="113" fillId="2" borderId="0" xfId="0" applyFont="1" applyFill="1"/>
    <xf numFmtId="0" fontId="113" fillId="2" borderId="0" xfId="0" applyFont="1" applyFill="1" applyProtection="1">
      <protection hidden="1"/>
    </xf>
    <xf numFmtId="167" fontId="0" fillId="4" borderId="3" xfId="0" applyNumberFormat="1" applyFill="1" applyBorder="1" applyAlignment="1" applyProtection="1">
      <alignment horizontal="center" wrapText="1"/>
      <protection locked="0" hidden="1"/>
    </xf>
    <xf numFmtId="166" fontId="0" fillId="4" borderId="3" xfId="0" applyNumberFormat="1" applyFill="1" applyBorder="1" applyAlignment="1" applyProtection="1">
      <alignment horizontal="center" wrapText="1"/>
      <protection locked="0" hidden="1"/>
    </xf>
    <xf numFmtId="3" fontId="83" fillId="12" borderId="3" xfId="0" applyNumberFormat="1" applyFont="1" applyFill="1" applyBorder="1" applyAlignment="1">
      <alignment horizontal="center" wrapText="1"/>
    </xf>
    <xf numFmtId="1" fontId="0" fillId="2" borderId="2" xfId="0" applyNumberFormat="1" applyFill="1" applyBorder="1" applyAlignment="1">
      <alignment horizontal="center"/>
    </xf>
    <xf numFmtId="167" fontId="12" fillId="4" borderId="3" xfId="0" applyNumberFormat="1" applyFont="1" applyFill="1" applyBorder="1" applyAlignment="1" applyProtection="1">
      <alignment horizontal="center" wrapText="1"/>
      <protection locked="0" hidden="1"/>
    </xf>
    <xf numFmtId="9" fontId="12" fillId="4" borderId="3" xfId="7" applyFont="1" applyFill="1" applyBorder="1" applyAlignment="1" applyProtection="1">
      <alignment horizontal="center"/>
      <protection locked="0" hidden="1"/>
    </xf>
    <xf numFmtId="1" fontId="9" fillId="0" borderId="2" xfId="0" applyNumberFormat="1" applyFont="1" applyBorder="1" applyAlignment="1">
      <alignment horizontal="center"/>
    </xf>
    <xf numFmtId="9" fontId="12" fillId="4" borderId="2" xfId="7" applyFont="1" applyFill="1" applyBorder="1" applyAlignment="1" applyProtection="1">
      <alignment horizontal="center"/>
      <protection locked="0" hidden="1"/>
    </xf>
    <xf numFmtId="2" fontId="0" fillId="4" borderId="0" xfId="0" applyNumberFormat="1" applyFill="1" applyProtection="1">
      <protection locked="0" hidden="1"/>
    </xf>
    <xf numFmtId="168" fontId="12" fillId="4" borderId="0" xfId="0" applyNumberFormat="1" applyFont="1" applyFill="1" applyAlignment="1">
      <alignment horizontal="center"/>
    </xf>
    <xf numFmtId="0" fontId="0" fillId="9" borderId="0" xfId="0" applyFill="1" applyAlignment="1" applyProtection="1">
      <alignment horizontal="center"/>
      <protection locked="0"/>
    </xf>
    <xf numFmtId="9" fontId="0" fillId="0" borderId="0" xfId="7" applyFont="1" applyAlignment="1" applyProtection="1">
      <alignment horizontal="center"/>
    </xf>
    <xf numFmtId="0" fontId="0" fillId="2" borderId="0" xfId="0" applyFill="1" applyProtection="1">
      <protection locked="0"/>
    </xf>
    <xf numFmtId="0" fontId="0" fillId="2" borderId="0" xfId="0" applyFill="1" applyAlignment="1" applyProtection="1">
      <alignment horizontal="right"/>
      <protection locked="0"/>
    </xf>
    <xf numFmtId="2" fontId="0" fillId="4" borderId="3" xfId="0" applyNumberFormat="1" applyFill="1" applyBorder="1" applyAlignment="1" applyProtection="1">
      <alignment horizontal="center"/>
      <protection locked="0" hidden="1"/>
    </xf>
    <xf numFmtId="2" fontId="12" fillId="2" borderId="0" xfId="0" applyNumberFormat="1" applyFont="1" applyFill="1" applyAlignment="1" applyProtection="1">
      <alignment horizontal="center"/>
      <protection hidden="1"/>
    </xf>
    <xf numFmtId="2" fontId="0" fillId="2" borderId="2" xfId="0" applyNumberFormat="1" applyFill="1" applyBorder="1" applyAlignment="1">
      <alignment horizontal="center"/>
    </xf>
    <xf numFmtId="9" fontId="12" fillId="4" borderId="3" xfId="0" applyNumberFormat="1" applyFont="1" applyFill="1" applyBorder="1" applyAlignment="1" applyProtection="1">
      <alignment horizontal="right"/>
      <protection locked="0"/>
    </xf>
    <xf numFmtId="9" fontId="12" fillId="4" borderId="3" xfId="0" applyNumberFormat="1" applyFont="1" applyFill="1" applyBorder="1" applyAlignment="1" applyProtection="1">
      <alignment horizontal="center"/>
      <protection locked="0"/>
    </xf>
    <xf numFmtId="0" fontId="9" fillId="4" borderId="2" xfId="0" applyFont="1" applyFill="1" applyBorder="1" applyAlignment="1" applyProtection="1">
      <alignment horizontal="left"/>
      <protection locked="0"/>
    </xf>
    <xf numFmtId="0" fontId="105" fillId="2" borderId="0" xfId="0" applyFont="1" applyFill="1" applyProtection="1">
      <protection hidden="1"/>
    </xf>
    <xf numFmtId="0" fontId="113" fillId="0" borderId="0" xfId="0" applyFont="1" applyAlignment="1">
      <alignment horizontal="right"/>
    </xf>
    <xf numFmtId="0" fontId="113" fillId="0" borderId="0" xfId="0" quotePrefix="1" applyFont="1" applyAlignment="1">
      <alignment horizontal="center"/>
    </xf>
    <xf numFmtId="0" fontId="113" fillId="0" borderId="0" xfId="0" applyFont="1"/>
    <xf numFmtId="0" fontId="12" fillId="0" borderId="0" xfId="17" applyFont="1" applyAlignment="1">
      <alignment horizontal="center"/>
    </xf>
    <xf numFmtId="0" fontId="9" fillId="0" borderId="109" xfId="0" applyFont="1" applyBorder="1"/>
    <xf numFmtId="22" fontId="0" fillId="0" borderId="0" xfId="0" applyNumberFormat="1"/>
    <xf numFmtId="0" fontId="0" fillId="0" borderId="1" xfId="0" applyBorder="1" applyAlignment="1">
      <alignment horizontal="left"/>
    </xf>
    <xf numFmtId="0" fontId="0" fillId="0" borderId="60" xfId="0" applyBorder="1" applyAlignment="1">
      <alignment horizontal="left"/>
    </xf>
    <xf numFmtId="0" fontId="9" fillId="2" borderId="0" xfId="0" applyFont="1" applyFill="1" applyAlignment="1" applyProtection="1">
      <alignment horizontal="left" vertical="top"/>
      <protection hidden="1"/>
    </xf>
    <xf numFmtId="0" fontId="83" fillId="2" borderId="0" xfId="0" applyFont="1" applyFill="1"/>
    <xf numFmtId="0" fontId="85" fillId="0" borderId="0" xfId="11" applyFont="1" applyAlignment="1">
      <alignment horizontal="left" vertical="center"/>
    </xf>
    <xf numFmtId="0" fontId="85" fillId="0" borderId="0" xfId="11" applyFont="1" applyAlignment="1">
      <alignment horizontal="center" vertical="center" wrapText="1"/>
    </xf>
    <xf numFmtId="0" fontId="85" fillId="0" borderId="0" xfId="11" applyFont="1" applyAlignment="1">
      <alignment horizontal="left" vertical="center" wrapText="1"/>
    </xf>
    <xf numFmtId="0" fontId="86" fillId="0" borderId="0" xfId="11" applyFont="1" applyAlignment="1">
      <alignment horizontal="left" vertical="center" wrapText="1"/>
    </xf>
    <xf numFmtId="0" fontId="87" fillId="0" borderId="0" xfId="11" applyFont="1" applyAlignment="1">
      <alignment horizontal="left" vertical="center" wrapText="1"/>
    </xf>
    <xf numFmtId="0" fontId="85" fillId="0" borderId="0" xfId="11" applyFont="1"/>
    <xf numFmtId="0" fontId="87" fillId="0" borderId="0" xfId="11" applyFont="1" applyAlignment="1">
      <alignment horizontal="center" vertical="center" wrapText="1"/>
    </xf>
    <xf numFmtId="0" fontId="85" fillId="13" borderId="79" xfId="11" applyFont="1" applyFill="1" applyBorder="1" applyAlignment="1">
      <alignment horizontal="center" vertical="center" wrapText="1"/>
    </xf>
    <xf numFmtId="0" fontId="87" fillId="13" borderId="69" xfId="11" applyFont="1" applyFill="1" applyBorder="1" applyAlignment="1">
      <alignment horizontal="center" vertical="center" wrapText="1"/>
    </xf>
    <xf numFmtId="0" fontId="88" fillId="13" borderId="69" xfId="11" applyFont="1" applyFill="1" applyBorder="1" applyAlignment="1">
      <alignment horizontal="center" vertical="center" wrapText="1"/>
    </xf>
    <xf numFmtId="0" fontId="87" fillId="13" borderId="71" xfId="11" applyFont="1" applyFill="1" applyBorder="1" applyAlignment="1">
      <alignment horizontal="center" vertical="center" wrapText="1"/>
    </xf>
    <xf numFmtId="0" fontId="85" fillId="0" borderId="0" xfId="11" applyFont="1" applyAlignment="1">
      <alignment vertical="center"/>
    </xf>
    <xf numFmtId="0" fontId="86" fillId="0" borderId="72" xfId="11" applyFont="1" applyBorder="1" applyAlignment="1">
      <alignment horizontal="center" vertical="center" wrapText="1"/>
    </xf>
    <xf numFmtId="0" fontId="85" fillId="0" borderId="73" xfId="11" applyFont="1" applyBorder="1" applyAlignment="1">
      <alignment horizontal="left" vertical="center" wrapText="1"/>
    </xf>
    <xf numFmtId="0" fontId="86" fillId="0" borderId="73" xfId="11" applyFont="1" applyBorder="1" applyAlignment="1">
      <alignment horizontal="left" vertical="center" wrapText="1"/>
    </xf>
    <xf numFmtId="0" fontId="87" fillId="0" borderId="73" xfId="11" applyFont="1" applyBorder="1" applyAlignment="1">
      <alignment horizontal="left" vertical="center" wrapText="1"/>
    </xf>
    <xf numFmtId="0" fontId="85" fillId="0" borderId="82" xfId="11" applyFont="1" applyBorder="1" applyAlignment="1">
      <alignment horizontal="left" vertical="center" wrapText="1"/>
    </xf>
    <xf numFmtId="0" fontId="85" fillId="0" borderId="3" xfId="11" applyFont="1" applyBorder="1" applyAlignment="1">
      <alignment horizontal="left" vertical="center" wrapText="1"/>
    </xf>
    <xf numFmtId="0" fontId="86" fillId="0" borderId="3" xfId="11" applyFont="1" applyBorder="1" applyAlignment="1">
      <alignment horizontal="left" vertical="center" wrapText="1"/>
    </xf>
    <xf numFmtId="0" fontId="87" fillId="0" borderId="3" xfId="11" applyFont="1" applyBorder="1" applyAlignment="1">
      <alignment horizontal="left" vertical="center" wrapText="1"/>
    </xf>
    <xf numFmtId="0" fontId="85" fillId="0" borderId="33" xfId="11" applyFont="1" applyBorder="1" applyAlignment="1">
      <alignment horizontal="left" vertical="center" wrapText="1"/>
    </xf>
    <xf numFmtId="0" fontId="89" fillId="0" borderId="3" xfId="11" applyFont="1" applyBorder="1" applyAlignment="1">
      <alignment horizontal="left" vertical="center" wrapText="1"/>
    </xf>
    <xf numFmtId="2" fontId="87" fillId="0" borderId="3" xfId="11" applyNumberFormat="1" applyFont="1" applyBorder="1" applyAlignment="1">
      <alignment horizontal="left" vertical="center" wrapText="1"/>
    </xf>
    <xf numFmtId="0" fontId="86" fillId="0" borderId="3" xfId="11" quotePrefix="1" applyFont="1" applyBorder="1" applyAlignment="1">
      <alignment horizontal="left" vertical="center" wrapText="1"/>
    </xf>
    <xf numFmtId="1" fontId="18" fillId="0" borderId="0" xfId="0" applyNumberFormat="1" applyFont="1" applyAlignment="1">
      <alignment horizontal="center"/>
    </xf>
    <xf numFmtId="166" fontId="12" fillId="6" borderId="2" xfId="0" applyNumberFormat="1" applyFont="1" applyFill="1" applyBorder="1" applyAlignment="1" applyProtection="1">
      <alignment horizontal="center"/>
      <protection hidden="1"/>
    </xf>
    <xf numFmtId="0" fontId="11" fillId="6" borderId="0" xfId="0" applyFont="1" applyFill="1" applyAlignment="1" applyProtection="1">
      <alignment horizontal="center"/>
      <protection hidden="1"/>
    </xf>
    <xf numFmtId="0" fontId="11" fillId="0" borderId="0" xfId="0" applyFont="1" applyAlignment="1" applyProtection="1">
      <alignment horizontal="center"/>
      <protection hidden="1"/>
    </xf>
    <xf numFmtId="0" fontId="9" fillId="0" borderId="0" xfId="0" quotePrefix="1" applyFont="1" applyAlignment="1">
      <alignment horizontal="right"/>
    </xf>
    <xf numFmtId="166" fontId="9" fillId="2" borderId="0" xfId="0" applyNumberFormat="1" applyFont="1" applyFill="1" applyAlignment="1">
      <alignment horizontal="right"/>
    </xf>
    <xf numFmtId="167" fontId="9" fillId="2" borderId="0" xfId="0" quotePrefix="1" applyNumberFormat="1" applyFont="1" applyFill="1" applyAlignment="1">
      <alignment horizontal="center"/>
    </xf>
    <xf numFmtId="2" fontId="46" fillId="12" borderId="0" xfId="0" applyNumberFormat="1" applyFont="1" applyFill="1" applyAlignment="1">
      <alignment horizontal="left"/>
    </xf>
    <xf numFmtId="0" fontId="9" fillId="12" borderId="0" xfId="0" applyFont="1" applyFill="1"/>
    <xf numFmtId="0" fontId="9" fillId="4" borderId="30" xfId="0" applyFont="1" applyFill="1" applyBorder="1" applyAlignment="1" applyProtection="1">
      <alignment horizontal="center"/>
      <protection locked="0"/>
    </xf>
    <xf numFmtId="0" fontId="9" fillId="4" borderId="59" xfId="0" applyFont="1" applyFill="1" applyBorder="1" applyAlignment="1" applyProtection="1">
      <alignment horizontal="center"/>
      <protection locked="0"/>
    </xf>
    <xf numFmtId="0" fontId="113" fillId="0" borderId="0" xfId="2" applyFont="1" applyFill="1" applyProtection="1">
      <alignment horizontal="left" vertical="center"/>
    </xf>
    <xf numFmtId="0" fontId="12" fillId="4" borderId="26" xfId="0" applyFont="1" applyFill="1" applyBorder="1" applyAlignment="1" applyProtection="1">
      <alignment horizontal="left"/>
      <protection locked="0"/>
    </xf>
    <xf numFmtId="0" fontId="12" fillId="0" borderId="26" xfId="0" applyFont="1" applyBorder="1"/>
    <xf numFmtId="0" fontId="12" fillId="0" borderId="49" xfId="0" applyFont="1" applyBorder="1"/>
    <xf numFmtId="0" fontId="12" fillId="4" borderId="26" xfId="0" applyFont="1" applyFill="1" applyBorder="1" applyAlignment="1" applyProtection="1">
      <alignment horizontal="center"/>
      <protection locked="0"/>
    </xf>
    <xf numFmtId="2" fontId="9" fillId="0" borderId="0" xfId="0" applyNumberFormat="1" applyFont="1" applyAlignment="1">
      <alignment horizontal="right" vertical="center"/>
    </xf>
    <xf numFmtId="167" fontId="9" fillId="2" borderId="0" xfId="0" applyNumberFormat="1" applyFont="1" applyFill="1" applyAlignment="1">
      <alignment horizontal="right"/>
    </xf>
    <xf numFmtId="0" fontId="83" fillId="4" borderId="3" xfId="0" applyFont="1" applyFill="1" applyBorder="1" applyAlignment="1" applyProtection="1">
      <alignment horizontal="center"/>
      <protection locked="0"/>
    </xf>
    <xf numFmtId="166" fontId="36" fillId="0" borderId="0" xfId="0" applyNumberFormat="1" applyFont="1" applyAlignment="1">
      <alignment vertical="top" wrapText="1"/>
    </xf>
    <xf numFmtId="0" fontId="11" fillId="0" borderId="0" xfId="17" applyFont="1" applyAlignment="1">
      <alignment horizontal="center"/>
    </xf>
    <xf numFmtId="0" fontId="9" fillId="0" borderId="0" xfId="17"/>
    <xf numFmtId="167" fontId="9" fillId="0" borderId="0" xfId="17" applyNumberFormat="1" applyAlignment="1">
      <alignment horizontal="center"/>
    </xf>
    <xf numFmtId="167" fontId="9" fillId="0" borderId="0" xfId="17" quotePrefix="1" applyNumberFormat="1" applyAlignment="1">
      <alignment horizontal="center"/>
    </xf>
    <xf numFmtId="0" fontId="11" fillId="0" borderId="0" xfId="17" quotePrefix="1" applyFont="1" applyAlignment="1">
      <alignment horizontal="center"/>
    </xf>
    <xf numFmtId="2" fontId="9" fillId="0" borderId="2" xfId="17" applyNumberFormat="1" applyBorder="1" applyAlignment="1">
      <alignment horizontal="center"/>
    </xf>
    <xf numFmtId="0" fontId="27" fillId="0" borderId="0" xfId="17" applyFont="1" applyAlignment="1">
      <alignment horizontal="center"/>
    </xf>
    <xf numFmtId="2" fontId="27" fillId="0" borderId="0" xfId="17" applyNumberFormat="1" applyFont="1" applyAlignment="1">
      <alignment horizontal="center"/>
    </xf>
    <xf numFmtId="0" fontId="27" fillId="0" borderId="0" xfId="17" applyFont="1" applyAlignment="1">
      <alignment horizontal="centerContinuous"/>
    </xf>
    <xf numFmtId="168" fontId="9" fillId="0" borderId="2" xfId="17" applyNumberFormat="1" applyBorder="1" applyAlignment="1">
      <alignment horizontal="center"/>
    </xf>
    <xf numFmtId="166" fontId="9" fillId="0" borderId="2" xfId="17" applyNumberFormat="1" applyBorder="1" applyAlignment="1">
      <alignment horizontal="center"/>
    </xf>
    <xf numFmtId="9" fontId="12" fillId="0" borderId="2" xfId="7" applyFont="1" applyFill="1" applyBorder="1" applyAlignment="1" applyProtection="1">
      <alignment horizontal="center"/>
    </xf>
    <xf numFmtId="0" fontId="13" fillId="2" borderId="70" xfId="0" applyFont="1" applyFill="1" applyBorder="1" applyAlignment="1">
      <alignment horizontal="center"/>
    </xf>
    <xf numFmtId="0" fontId="28" fillId="2" borderId="33" xfId="0" applyFont="1" applyFill="1" applyBorder="1" applyAlignment="1" applyProtection="1">
      <alignment horizontal="left" vertical="center" wrapText="1"/>
      <protection locked="0" hidden="1"/>
    </xf>
    <xf numFmtId="0" fontId="28" fillId="2" borderId="74" xfId="0" applyFont="1" applyFill="1" applyBorder="1" applyAlignment="1" applyProtection="1">
      <alignment horizontal="left" vertical="center" wrapText="1"/>
      <protection locked="0" hidden="1"/>
    </xf>
    <xf numFmtId="0" fontId="9" fillId="2" borderId="0" xfId="0" applyFont="1" applyFill="1" applyAlignment="1" applyProtection="1">
      <alignment wrapText="1"/>
      <protection hidden="1"/>
    </xf>
    <xf numFmtId="2" fontId="9" fillId="12" borderId="3" xfId="7" applyNumberFormat="1" applyFont="1" applyFill="1" applyBorder="1" applyAlignment="1" applyProtection="1">
      <alignment horizontal="center"/>
      <protection locked="0" hidden="1"/>
    </xf>
    <xf numFmtId="2" fontId="12" fillId="12" borderId="2" xfId="0" applyNumberFormat="1" applyFont="1" applyFill="1" applyBorder="1" applyAlignment="1" applyProtection="1">
      <alignment horizontal="center"/>
      <protection locked="0"/>
    </xf>
    <xf numFmtId="0" fontId="12" fillId="17" borderId="0" xfId="0" applyFont="1" applyFill="1"/>
    <xf numFmtId="166" fontId="0" fillId="17" borderId="0" xfId="0" applyNumberFormat="1" applyFill="1" applyAlignment="1">
      <alignment horizontal="right"/>
    </xf>
    <xf numFmtId="166" fontId="0" fillId="17" borderId="0" xfId="0" applyNumberFormat="1" applyFill="1"/>
    <xf numFmtId="167" fontId="0" fillId="17" borderId="0" xfId="0" applyNumberFormat="1" applyFill="1" applyAlignment="1">
      <alignment horizontal="center"/>
    </xf>
    <xf numFmtId="0" fontId="12" fillId="17" borderId="0" xfId="0" applyFont="1" applyFill="1" applyAlignment="1">
      <alignment horizontal="left"/>
    </xf>
    <xf numFmtId="0" fontId="37" fillId="0" borderId="90" xfId="0" applyFont="1" applyBorder="1" applyAlignment="1">
      <alignment horizontal="center"/>
    </xf>
    <xf numFmtId="0" fontId="37" fillId="0" borderId="89" xfId="0" applyFont="1" applyBorder="1" applyAlignment="1">
      <alignment horizontal="left"/>
    </xf>
    <xf numFmtId="0" fontId="37" fillId="0" borderId="2" xfId="0" applyFont="1" applyBorder="1" applyAlignment="1">
      <alignment horizontal="left"/>
    </xf>
    <xf numFmtId="0" fontId="37" fillId="0" borderId="90" xfId="0" applyFont="1" applyBorder="1" applyAlignment="1">
      <alignment horizontal="left"/>
    </xf>
    <xf numFmtId="0" fontId="37" fillId="0" borderId="2" xfId="0" applyFont="1" applyBorder="1" applyAlignment="1">
      <alignment horizontal="center"/>
    </xf>
    <xf numFmtId="1" fontId="32" fillId="0" borderId="66" xfId="0" applyNumberFormat="1" applyFont="1" applyBorder="1" applyAlignment="1">
      <alignment horizontal="center" vertical="top" wrapText="1"/>
    </xf>
    <xf numFmtId="1" fontId="12" fillId="12" borderId="3" xfId="0" applyNumberFormat="1" applyFont="1" applyFill="1" applyBorder="1" applyAlignment="1" applyProtection="1">
      <alignment horizontal="right"/>
      <protection locked="0"/>
    </xf>
    <xf numFmtId="0" fontId="39" fillId="0" borderId="0" xfId="0" applyFont="1"/>
    <xf numFmtId="0" fontId="9" fillId="4" borderId="3" xfId="0" applyFont="1" applyFill="1" applyBorder="1" applyAlignment="1" applyProtection="1">
      <alignment horizontal="center"/>
      <protection locked="0"/>
    </xf>
    <xf numFmtId="0" fontId="9" fillId="4" borderId="12" xfId="0" applyFont="1" applyFill="1" applyBorder="1" applyAlignment="1" applyProtection="1">
      <alignment horizontal="center"/>
      <protection locked="0"/>
    </xf>
    <xf numFmtId="169" fontId="0" fillId="0" borderId="105" xfId="0" applyNumberFormat="1" applyBorder="1" applyAlignment="1">
      <alignment horizontal="center" vertical="center"/>
    </xf>
    <xf numFmtId="0" fontId="9" fillId="0" borderId="106" xfId="0" applyFont="1" applyBorder="1" applyAlignment="1">
      <alignment horizontal="center" vertical="center"/>
    </xf>
    <xf numFmtId="0" fontId="9" fillId="0" borderId="11" xfId="0" applyFont="1" applyBorder="1" applyAlignment="1">
      <alignment horizontal="left"/>
    </xf>
    <xf numFmtId="0" fontId="9" fillId="0" borderId="11" xfId="0" applyFont="1" applyBorder="1" applyAlignment="1">
      <alignment horizontal="left" vertical="top"/>
    </xf>
    <xf numFmtId="0" fontId="9" fillId="0" borderId="9" xfId="0" applyFont="1" applyBorder="1" applyAlignment="1">
      <alignment horizontal="left"/>
    </xf>
    <xf numFmtId="166" fontId="9" fillId="0" borderId="0" xfId="0" applyNumberFormat="1" applyFont="1" applyAlignment="1">
      <alignment horizontal="left" vertical="center" wrapText="1"/>
    </xf>
    <xf numFmtId="0" fontId="0" fillId="0" borderId="0" xfId="0" applyAlignment="1">
      <alignment horizontal="left" vertical="center"/>
    </xf>
    <xf numFmtId="0" fontId="0" fillId="0" borderId="0" xfId="0" applyAlignment="1">
      <alignment vertical="center"/>
    </xf>
    <xf numFmtId="9" fontId="0" fillId="0" borderId="0" xfId="7" applyFont="1" applyAlignment="1" applyProtection="1">
      <alignment horizontal="left" vertical="center"/>
    </xf>
    <xf numFmtId="0" fontId="9" fillId="0" borderId="3" xfId="0" applyFont="1" applyBorder="1" applyAlignment="1">
      <alignment horizontal="center" vertical="center"/>
    </xf>
    <xf numFmtId="0" fontId="0" fillId="16" borderId="24" xfId="0" applyFill="1" applyBorder="1"/>
    <xf numFmtId="0" fontId="12" fillId="0" borderId="106" xfId="0" applyFont="1" applyBorder="1" applyAlignment="1">
      <alignment vertical="center"/>
    </xf>
    <xf numFmtId="0" fontId="12" fillId="0" borderId="105" xfId="0" applyFont="1" applyBorder="1" applyAlignment="1">
      <alignment horizontal="center" vertical="center"/>
    </xf>
    <xf numFmtId="0" fontId="12" fillId="0" borderId="105" xfId="0" applyFont="1" applyBorder="1" applyAlignment="1">
      <alignment horizontal="center" vertical="center" wrapText="1"/>
    </xf>
    <xf numFmtId="0" fontId="12" fillId="0" borderId="100" xfId="0" applyFont="1" applyBorder="1" applyAlignment="1">
      <alignment horizontal="center" vertical="center" wrapText="1"/>
    </xf>
    <xf numFmtId="0" fontId="10" fillId="0" borderId="0" xfId="3" applyAlignment="1" applyProtection="1"/>
    <xf numFmtId="0" fontId="10" fillId="0" borderId="0" xfId="3" quotePrefix="1" applyAlignment="1" applyProtection="1"/>
    <xf numFmtId="0" fontId="12" fillId="0" borderId="106" xfId="0" applyFont="1" applyBorder="1" applyAlignment="1">
      <alignment horizontal="center" vertical="center" wrapText="1"/>
    </xf>
    <xf numFmtId="0" fontId="12" fillId="0" borderId="13" xfId="0" applyFont="1" applyBorder="1" applyAlignment="1">
      <alignment horizontal="center" vertical="center" wrapText="1"/>
    </xf>
    <xf numFmtId="166" fontId="9" fillId="0" borderId="26" xfId="0" applyNumberFormat="1" applyFont="1" applyBorder="1" applyAlignment="1">
      <alignment horizontal="left" vertical="center" wrapText="1"/>
    </xf>
    <xf numFmtId="0" fontId="0" fillId="0" borderId="26" xfId="0" applyBorder="1" applyAlignment="1">
      <alignment horizontal="left" vertical="center"/>
    </xf>
    <xf numFmtId="0" fontId="0" fillId="0" borderId="26" xfId="0" applyBorder="1" applyAlignment="1">
      <alignment vertical="center"/>
    </xf>
    <xf numFmtId="9" fontId="0" fillId="0" borderId="26" xfId="7" applyFont="1" applyBorder="1" applyAlignment="1" applyProtection="1">
      <alignment horizontal="left" vertical="center"/>
    </xf>
    <xf numFmtId="166" fontId="9" fillId="0" borderId="31" xfId="0" applyNumberFormat="1" applyFont="1" applyBorder="1" applyAlignment="1">
      <alignment horizontal="left" vertical="center" wrapText="1"/>
    </xf>
    <xf numFmtId="0" fontId="0" fillId="0" borderId="31" xfId="0" applyBorder="1" applyAlignment="1">
      <alignment horizontal="left" vertical="center"/>
    </xf>
    <xf numFmtId="0" fontId="0" fillId="0" borderId="31" xfId="0" applyBorder="1" applyAlignment="1">
      <alignment vertical="center"/>
    </xf>
    <xf numFmtId="9" fontId="0" fillId="0" borderId="31" xfId="7" applyFont="1" applyBorder="1" applyAlignment="1" applyProtection="1">
      <alignment horizontal="left" vertical="center"/>
    </xf>
    <xf numFmtId="0" fontId="9" fillId="0" borderId="109" xfId="0" applyFont="1" applyBorder="1" applyAlignment="1">
      <alignment vertical="top" wrapText="1"/>
    </xf>
    <xf numFmtId="0" fontId="0" fillId="0" borderId="109" xfId="0" applyBorder="1" applyAlignment="1">
      <alignment horizontal="left" vertical="center"/>
    </xf>
    <xf numFmtId="0" fontId="0" fillId="0" borderId="109" xfId="0" applyBorder="1" applyAlignment="1">
      <alignment vertical="center"/>
    </xf>
    <xf numFmtId="9" fontId="0" fillId="0" borderId="109" xfId="7" applyFont="1" applyBorder="1" applyAlignment="1" applyProtection="1">
      <alignment horizontal="left" vertical="center"/>
    </xf>
    <xf numFmtId="0" fontId="10" fillId="0" borderId="0" xfId="3" applyFill="1" applyAlignment="1" applyProtection="1"/>
    <xf numFmtId="0" fontId="113" fillId="0" borderId="3" xfId="0" applyFont="1" applyBorder="1" applyAlignment="1">
      <alignment horizontal="center" vertical="center"/>
    </xf>
    <xf numFmtId="2" fontId="0" fillId="0" borderId="67" xfId="0" applyNumberFormat="1" applyBorder="1" applyAlignment="1">
      <alignment horizontal="center" vertical="center" wrapText="1"/>
    </xf>
    <xf numFmtId="0" fontId="9" fillId="0" borderId="0" xfId="0" applyFont="1" applyAlignment="1">
      <alignment horizontal="right" vertical="center"/>
    </xf>
    <xf numFmtId="0" fontId="9" fillId="0" borderId="0" xfId="0" applyFont="1" applyAlignment="1">
      <alignment vertical="center"/>
    </xf>
    <xf numFmtId="0" fontId="0" fillId="0" borderId="65" xfId="0" applyBorder="1" applyAlignment="1">
      <alignment vertical="center" wrapText="1"/>
    </xf>
    <xf numFmtId="0" fontId="0" fillId="14" borderId="32" xfId="0" applyFill="1" applyBorder="1" applyAlignment="1">
      <alignment horizontal="center" vertical="center"/>
    </xf>
    <xf numFmtId="0" fontId="9" fillId="12" borderId="12" xfId="0" applyFont="1" applyFill="1" applyBorder="1" applyAlignment="1" applyProtection="1">
      <alignment horizontal="center"/>
      <protection locked="0"/>
    </xf>
    <xf numFmtId="0" fontId="9" fillId="12" borderId="3" xfId="0" applyFont="1" applyFill="1" applyBorder="1" applyAlignment="1" applyProtection="1">
      <alignment horizontal="center"/>
      <protection locked="0"/>
    </xf>
    <xf numFmtId="0" fontId="9" fillId="12" borderId="27" xfId="0" applyFont="1" applyFill="1" applyBorder="1"/>
    <xf numFmtId="0" fontId="0" fillId="12" borderId="24" xfId="0" applyFill="1" applyBorder="1"/>
    <xf numFmtId="0" fontId="0" fillId="12" borderId="40" xfId="0" applyFill="1" applyBorder="1"/>
    <xf numFmtId="0" fontId="9" fillId="12" borderId="30" xfId="0" applyFont="1" applyFill="1" applyBorder="1"/>
    <xf numFmtId="0" fontId="0" fillId="12" borderId="30" xfId="0" applyFill="1" applyBorder="1"/>
    <xf numFmtId="0" fontId="0" fillId="12" borderId="59" xfId="0" applyFill="1" applyBorder="1"/>
    <xf numFmtId="0" fontId="0" fillId="12" borderId="24" xfId="0" applyFill="1" applyBorder="1" applyAlignment="1">
      <alignment horizontal="center"/>
    </xf>
    <xf numFmtId="0" fontId="0" fillId="2" borderId="0" xfId="0" applyFill="1" applyAlignment="1" applyProtection="1">
      <alignment vertical="center"/>
      <protection hidden="1"/>
    </xf>
    <xf numFmtId="0" fontId="9" fillId="6" borderId="0" xfId="0" applyFont="1" applyFill="1" applyAlignment="1">
      <alignment horizontal="right" vertical="center"/>
    </xf>
    <xf numFmtId="0" fontId="82" fillId="2" borderId="0" xfId="0" applyFont="1" applyFill="1" applyAlignment="1" applyProtection="1">
      <alignment vertical="center" wrapText="1"/>
      <protection hidden="1"/>
    </xf>
    <xf numFmtId="0" fontId="9" fillId="0" borderId="0" xfId="0" applyFont="1" applyAlignment="1">
      <alignment horizontal="center" vertical="center"/>
    </xf>
    <xf numFmtId="0" fontId="118" fillId="0" borderId="0" xfId="6" applyFont="1"/>
    <xf numFmtId="0" fontId="0" fillId="6" borderId="0" xfId="0" applyFill="1" applyAlignment="1">
      <alignment horizontal="center" vertical="center"/>
    </xf>
    <xf numFmtId="0" fontId="83" fillId="0" borderId="0" xfId="0" applyFont="1" applyAlignment="1">
      <alignment horizontal="center" vertical="center"/>
    </xf>
    <xf numFmtId="0" fontId="9" fillId="0" borderId="0" xfId="17" applyAlignment="1">
      <alignment horizontal="center" vertical="center"/>
    </xf>
    <xf numFmtId="0" fontId="82" fillId="2" borderId="0" xfId="0" applyFont="1" applyFill="1" applyAlignment="1" applyProtection="1">
      <alignment vertical="center"/>
      <protection hidden="1"/>
    </xf>
    <xf numFmtId="0" fontId="82" fillId="2" borderId="0" xfId="0" applyFont="1" applyFill="1" applyAlignment="1" applyProtection="1">
      <alignment horizontal="left" vertical="center" wrapText="1"/>
      <protection hidden="1"/>
    </xf>
    <xf numFmtId="3" fontId="9" fillId="6" borderId="3" xfId="0" applyNumberFormat="1" applyFont="1" applyFill="1" applyBorder="1" applyAlignment="1">
      <alignment horizontal="center" vertical="center"/>
    </xf>
    <xf numFmtId="0" fontId="61" fillId="2" borderId="0" xfId="0" applyFont="1" applyFill="1" applyAlignment="1" applyProtection="1">
      <alignment vertical="center" wrapText="1"/>
      <protection hidden="1"/>
    </xf>
    <xf numFmtId="0" fontId="9" fillId="4" borderId="0" xfId="0" applyFont="1" applyFill="1" applyAlignment="1" applyProtection="1">
      <alignment horizontal="center"/>
      <protection locked="0"/>
    </xf>
    <xf numFmtId="2" fontId="119" fillId="2" borderId="3" xfId="3" applyNumberFormat="1" applyFont="1" applyFill="1" applyBorder="1" applyAlignment="1" applyProtection="1">
      <protection hidden="1"/>
    </xf>
    <xf numFmtId="1" fontId="119" fillId="0" borderId="12" xfId="3" applyNumberFormat="1" applyFont="1" applyFill="1" applyBorder="1" applyAlignment="1" applyProtection="1"/>
    <xf numFmtId="2" fontId="119" fillId="0" borderId="12" xfId="3" applyNumberFormat="1" applyFont="1" applyFill="1" applyBorder="1" applyAlignment="1" applyProtection="1"/>
    <xf numFmtId="168" fontId="119" fillId="0" borderId="3" xfId="3" applyNumberFormat="1" applyFont="1" applyFill="1" applyBorder="1" applyAlignment="1" applyProtection="1"/>
    <xf numFmtId="1" fontId="119" fillId="2" borderId="3" xfId="3" applyNumberFormat="1" applyFont="1" applyFill="1" applyBorder="1" applyAlignment="1" applyProtection="1"/>
    <xf numFmtId="169" fontId="119" fillId="2" borderId="3" xfId="3" applyNumberFormat="1" applyFont="1" applyFill="1" applyBorder="1" applyAlignment="1" applyProtection="1"/>
    <xf numFmtId="1" fontId="119" fillId="2" borderId="12" xfId="3" applyNumberFormat="1" applyFont="1" applyFill="1" applyBorder="1" applyAlignment="1" applyProtection="1"/>
    <xf numFmtId="1" fontId="119" fillId="2" borderId="3" xfId="3" applyNumberFormat="1" applyFont="1" applyFill="1" applyBorder="1" applyAlignment="1" applyProtection="1">
      <alignment horizontal="right"/>
      <protection hidden="1"/>
    </xf>
    <xf numFmtId="3" fontId="119" fillId="2" borderId="12" xfId="3" applyNumberFormat="1" applyFont="1" applyFill="1" applyBorder="1" applyAlignment="1" applyProtection="1">
      <protection hidden="1"/>
    </xf>
    <xf numFmtId="1" fontId="119" fillId="2" borderId="12" xfId="3" applyNumberFormat="1" applyFont="1" applyFill="1" applyBorder="1" applyAlignment="1" applyProtection="1">
      <protection hidden="1"/>
    </xf>
    <xf numFmtId="3" fontId="9" fillId="6" borderId="0" xfId="0" applyNumberFormat="1" applyFont="1" applyFill="1" applyAlignment="1">
      <alignment horizontal="center"/>
    </xf>
    <xf numFmtId="0" fontId="11" fillId="2" borderId="0" xfId="0" applyFont="1" applyFill="1" applyAlignment="1" applyProtection="1">
      <alignment horizontal="left" wrapText="1"/>
      <protection hidden="1"/>
    </xf>
    <xf numFmtId="0" fontId="11" fillId="2" borderId="0" xfId="0" applyFont="1" applyFill="1" applyAlignment="1" applyProtection="1">
      <alignment horizontal="left" vertical="top" wrapText="1"/>
      <protection hidden="1"/>
    </xf>
    <xf numFmtId="0" fontId="0" fillId="2" borderId="0" xfId="0" applyFill="1" applyAlignment="1" applyProtection="1">
      <alignment vertical="top"/>
      <protection hidden="1"/>
    </xf>
    <xf numFmtId="3" fontId="9" fillId="6" borderId="12" xfId="0" applyNumberFormat="1" applyFont="1" applyFill="1" applyBorder="1" applyAlignment="1">
      <alignment horizontal="center"/>
    </xf>
    <xf numFmtId="0" fontId="9" fillId="0" borderId="0" xfId="0" quotePrefix="1" applyFont="1"/>
    <xf numFmtId="1" fontId="12" fillId="4" borderId="32" xfId="0" applyNumberFormat="1" applyFont="1" applyFill="1" applyBorder="1" applyAlignment="1" applyProtection="1">
      <alignment horizontal="center"/>
      <protection locked="0"/>
    </xf>
    <xf numFmtId="0" fontId="120" fillId="0" borderId="0" xfId="2" applyFont="1" applyFill="1">
      <alignment horizontal="left" vertical="center"/>
    </xf>
    <xf numFmtId="0" fontId="121" fillId="0" borderId="0" xfId="0" applyFont="1"/>
    <xf numFmtId="167" fontId="0" fillId="0" borderId="3" xfId="0" applyNumberFormat="1" applyBorder="1"/>
    <xf numFmtId="0" fontId="27" fillId="2" borderId="0" xfId="0" applyFont="1" applyFill="1" applyAlignment="1" applyProtection="1">
      <alignment horizontal="center" vertical="center" wrapText="1"/>
      <protection hidden="1"/>
    </xf>
    <xf numFmtId="166" fontId="9" fillId="2" borderId="2" xfId="0" applyNumberFormat="1" applyFont="1" applyFill="1" applyBorder="1" applyAlignment="1" applyProtection="1">
      <alignment horizontal="center" vertical="center" wrapText="1"/>
      <protection hidden="1"/>
    </xf>
    <xf numFmtId="3" fontId="27" fillId="2" borderId="0" xfId="0" applyNumberFormat="1" applyFont="1" applyFill="1" applyAlignment="1" applyProtection="1">
      <alignment vertical="center" wrapText="1"/>
      <protection hidden="1"/>
    </xf>
    <xf numFmtId="167" fontId="9" fillId="2" borderId="2" xfId="0" applyNumberFormat="1" applyFont="1" applyFill="1" applyBorder="1" applyAlignment="1" applyProtection="1">
      <alignment horizontal="center" vertical="center" wrapText="1"/>
      <protection hidden="1"/>
    </xf>
    <xf numFmtId="166" fontId="0" fillId="12" borderId="0" xfId="0" applyNumberFormat="1" applyFill="1" applyAlignment="1" applyProtection="1">
      <alignment horizontal="center" wrapText="1"/>
      <protection locked="0" hidden="1"/>
    </xf>
    <xf numFmtId="0" fontId="11" fillId="2" borderId="0" xfId="0" applyFont="1" applyFill="1" applyAlignment="1" applyProtection="1">
      <alignment vertical="top" wrapText="1"/>
      <protection hidden="1"/>
    </xf>
    <xf numFmtId="0" fontId="122" fillId="2" borderId="0" xfId="0" quotePrefix="1" applyFont="1" applyFill="1" applyAlignment="1" applyProtection="1">
      <alignment horizontal="left"/>
      <protection hidden="1"/>
    </xf>
    <xf numFmtId="0" fontId="81" fillId="2" borderId="0" xfId="0" applyFont="1" applyFill="1" applyAlignment="1">
      <alignment horizontal="right"/>
    </xf>
    <xf numFmtId="0" fontId="3" fillId="0" borderId="0" xfId="1486"/>
    <xf numFmtId="0" fontId="124" fillId="0" borderId="0" xfId="1487"/>
    <xf numFmtId="0" fontId="123" fillId="18" borderId="0" xfId="1486" applyFont="1" applyFill="1"/>
    <xf numFmtId="0" fontId="123" fillId="19" borderId="0" xfId="1486" applyFont="1" applyFill="1"/>
    <xf numFmtId="0" fontId="123" fillId="20" borderId="0" xfId="1486" applyFont="1" applyFill="1"/>
    <xf numFmtId="0" fontId="123" fillId="21" borderId="0" xfId="1486" applyFont="1" applyFill="1"/>
    <xf numFmtId="0" fontId="123" fillId="22" borderId="0" xfId="1486" applyFont="1" applyFill="1"/>
    <xf numFmtId="0" fontId="3" fillId="23" borderId="0" xfId="1486" applyFill="1"/>
    <xf numFmtId="0" fontId="2" fillId="0" borderId="0" xfId="1488"/>
    <xf numFmtId="0" fontId="2" fillId="24" borderId="3" xfId="1488" applyFill="1" applyBorder="1"/>
    <xf numFmtId="0" fontId="2" fillId="0" borderId="3" xfId="1488" applyBorder="1"/>
    <xf numFmtId="0" fontId="125" fillId="0" borderId="0" xfId="1488" applyFont="1"/>
    <xf numFmtId="0" fontId="126" fillId="0" borderId="0" xfId="0" applyFont="1"/>
    <xf numFmtId="0" fontId="126" fillId="4" borderId="3" xfId="0" applyFont="1" applyFill="1" applyBorder="1" applyAlignment="1" applyProtection="1">
      <alignment horizontal="center"/>
      <protection locked="0"/>
    </xf>
    <xf numFmtId="0" fontId="126" fillId="4" borderId="24" xfId="0" applyFont="1" applyFill="1" applyBorder="1" applyAlignment="1" applyProtection="1">
      <alignment horizontal="center"/>
      <protection locked="0"/>
    </xf>
    <xf numFmtId="0" fontId="126" fillId="4" borderId="26" xfId="0" applyFont="1" applyFill="1" applyBorder="1" applyAlignment="1" applyProtection="1">
      <alignment horizontal="left"/>
      <protection locked="0"/>
    </xf>
    <xf numFmtId="167" fontId="93" fillId="2" borderId="3" xfId="0" applyNumberFormat="1" applyFont="1" applyFill="1" applyBorder="1" applyAlignment="1" applyProtection="1">
      <alignment horizontal="center" vertical="center" wrapText="1"/>
      <protection hidden="1"/>
    </xf>
    <xf numFmtId="0" fontId="127" fillId="4" borderId="2" xfId="0" applyFont="1" applyFill="1" applyBorder="1" applyAlignment="1" applyProtection="1">
      <alignment horizontal="right"/>
      <protection locked="0"/>
    </xf>
    <xf numFmtId="0" fontId="127" fillId="4" borderId="2" xfId="0" applyFont="1" applyFill="1" applyBorder="1" applyAlignment="1" applyProtection="1">
      <alignment horizontal="left"/>
      <protection locked="0"/>
    </xf>
    <xf numFmtId="0" fontId="126" fillId="4" borderId="2" xfId="0" applyFont="1" applyFill="1" applyBorder="1" applyAlignment="1" applyProtection="1">
      <alignment horizontal="right"/>
      <protection locked="0"/>
    </xf>
    <xf numFmtId="0" fontId="126" fillId="4" borderId="2" xfId="0" applyFont="1" applyFill="1" applyBorder="1" applyAlignment="1" applyProtection="1">
      <alignment horizontal="left"/>
      <protection locked="0"/>
    </xf>
    <xf numFmtId="2" fontId="126" fillId="0" borderId="3" xfId="0" applyNumberFormat="1" applyFont="1" applyBorder="1" applyAlignment="1">
      <alignment horizontal="center"/>
    </xf>
    <xf numFmtId="0" fontId="36" fillId="0" borderId="40" xfId="0" applyFont="1" applyBorder="1" applyAlignment="1" applyProtection="1">
      <alignment vertical="top" wrapText="1"/>
      <protection locked="0"/>
    </xf>
    <xf numFmtId="166" fontId="12" fillId="0" borderId="0" xfId="0" applyNumberFormat="1" applyFont="1"/>
    <xf numFmtId="2" fontId="126" fillId="0" borderId="2" xfId="0" applyNumberFormat="1" applyFont="1" applyBorder="1" applyAlignment="1">
      <alignment horizontal="center"/>
    </xf>
    <xf numFmtId="0" fontId="0" fillId="0" borderId="78" xfId="0" applyBorder="1"/>
    <xf numFmtId="0" fontId="0" fillId="0" borderId="16" xfId="0" applyBorder="1"/>
    <xf numFmtId="0" fontId="9" fillId="0" borderId="4" xfId="0" applyFont="1" applyBorder="1"/>
    <xf numFmtId="0" fontId="0" fillId="0" borderId="15" xfId="0" applyBorder="1"/>
    <xf numFmtId="2" fontId="0" fillId="0" borderId="6" xfId="0" applyNumberFormat="1" applyBorder="1"/>
    <xf numFmtId="0" fontId="27" fillId="0" borderId="14" xfId="0" applyFont="1" applyBorder="1" applyAlignment="1">
      <alignment horizontal="center"/>
    </xf>
    <xf numFmtId="2" fontId="126" fillId="0" borderId="64" xfId="0" applyNumberFormat="1" applyFont="1" applyBorder="1" applyAlignment="1">
      <alignment horizontal="center"/>
    </xf>
    <xf numFmtId="2" fontId="0" fillId="0" borderId="64" xfId="0" applyNumberFormat="1" applyBorder="1" applyAlignment="1">
      <alignment horizontal="center"/>
    </xf>
    <xf numFmtId="0" fontId="0" fillId="0" borderId="14" xfId="0" quotePrefix="1" applyBorder="1" applyAlignment="1">
      <alignment horizontal="center"/>
    </xf>
    <xf numFmtId="167" fontId="0" fillId="0" borderId="64" xfId="0" applyNumberFormat="1" applyBorder="1" applyAlignment="1">
      <alignment horizontal="center"/>
    </xf>
    <xf numFmtId="0" fontId="36" fillId="0" borderId="50" xfId="0" applyFont="1" applyBorder="1" applyAlignment="1">
      <alignment wrapText="1"/>
    </xf>
    <xf numFmtId="0" fontId="36" fillId="0" borderId="0" xfId="0" applyFont="1" applyAlignment="1">
      <alignment wrapText="1"/>
    </xf>
    <xf numFmtId="0" fontId="36" fillId="0" borderId="91" xfId="0" applyFont="1" applyBorder="1" applyAlignment="1">
      <alignment wrapText="1"/>
    </xf>
    <xf numFmtId="0" fontId="27" fillId="0" borderId="13" xfId="0" applyFont="1" applyBorder="1" applyAlignment="1">
      <alignment horizontal="center"/>
    </xf>
    <xf numFmtId="0" fontId="27" fillId="0" borderId="13" xfId="0" applyFont="1" applyBorder="1" applyAlignment="1">
      <alignment horizontal="left"/>
    </xf>
    <xf numFmtId="2" fontId="27" fillId="0" borderId="13" xfId="0" applyNumberFormat="1" applyFont="1" applyBorder="1" applyAlignment="1">
      <alignment horizontal="center"/>
    </xf>
    <xf numFmtId="0" fontId="36" fillId="0" borderId="13" xfId="0" applyFont="1" applyBorder="1" applyAlignment="1">
      <alignment wrapText="1"/>
    </xf>
    <xf numFmtId="0" fontId="36" fillId="0" borderId="92" xfId="0" applyFont="1" applyBorder="1" applyAlignment="1">
      <alignment wrapText="1"/>
    </xf>
    <xf numFmtId="166" fontId="12" fillId="0" borderId="0" xfId="0" applyNumberFormat="1" applyFont="1" applyAlignment="1">
      <alignment vertical="center" wrapText="1"/>
    </xf>
    <xf numFmtId="166" fontId="12" fillId="0" borderId="13" xfId="0" applyNumberFormat="1" applyFont="1" applyBorder="1" applyAlignment="1">
      <alignment vertical="center" wrapText="1"/>
    </xf>
    <xf numFmtId="166" fontId="12" fillId="0" borderId="92" xfId="0" applyNumberFormat="1" applyFont="1" applyBorder="1" applyAlignment="1">
      <alignment vertical="center" wrapText="1"/>
    </xf>
    <xf numFmtId="1" fontId="0" fillId="0" borderId="14" xfId="0" applyNumberFormat="1" applyBorder="1" applyAlignment="1">
      <alignment horizontal="centerContinuous"/>
    </xf>
    <xf numFmtId="167" fontId="0" fillId="0" borderId="14" xfId="0" applyNumberFormat="1" applyBorder="1" applyAlignment="1">
      <alignment horizontal="right"/>
    </xf>
    <xf numFmtId="0" fontId="27" fillId="0" borderId="78" xfId="0" applyFont="1" applyBorder="1" applyAlignment="1">
      <alignment horizontal="centerContinuous"/>
    </xf>
    <xf numFmtId="2" fontId="126" fillId="0" borderId="89" xfId="0" applyNumberFormat="1" applyFont="1" applyBorder="1" applyAlignment="1">
      <alignment horizontal="center"/>
    </xf>
    <xf numFmtId="0" fontId="27" fillId="0" borderId="11" xfId="0" applyFont="1" applyBorder="1" applyAlignment="1">
      <alignment horizontal="left"/>
    </xf>
    <xf numFmtId="0" fontId="27" fillId="0" borderId="9" xfId="0" applyFont="1" applyBorder="1" applyAlignment="1">
      <alignment horizontal="left"/>
    </xf>
    <xf numFmtId="166" fontId="0" fillId="0" borderId="64" xfId="0" applyNumberFormat="1" applyBorder="1" applyAlignment="1">
      <alignment horizontal="center"/>
    </xf>
    <xf numFmtId="0" fontId="27" fillId="0" borderId="13" xfId="0" applyFont="1" applyBorder="1" applyAlignment="1">
      <alignment horizontal="centerContinuous"/>
    </xf>
    <xf numFmtId="167" fontId="9" fillId="0" borderId="14" xfId="0" quotePrefix="1" applyNumberFormat="1" applyFont="1" applyBorder="1" applyAlignment="1">
      <alignment horizontal="center"/>
    </xf>
    <xf numFmtId="167" fontId="0" fillId="0" borderId="13" xfId="0" applyNumberFormat="1" applyBorder="1" applyAlignment="1">
      <alignment horizontal="right"/>
    </xf>
    <xf numFmtId="2" fontId="126" fillId="0" borderId="86" xfId="0" applyNumberFormat="1" applyFont="1" applyBorder="1" applyAlignment="1">
      <alignment horizontal="center"/>
    </xf>
    <xf numFmtId="0" fontId="9" fillId="2" borderId="107" xfId="0" applyFont="1" applyFill="1" applyBorder="1" applyAlignment="1" applyProtection="1">
      <alignment horizontal="right" wrapText="1"/>
      <protection hidden="1"/>
    </xf>
    <xf numFmtId="0" fontId="9" fillId="2" borderId="108" xfId="0" applyFont="1" applyFill="1" applyBorder="1" applyAlignment="1" applyProtection="1">
      <alignment horizontal="right" wrapText="1"/>
      <protection hidden="1"/>
    </xf>
    <xf numFmtId="0" fontId="12" fillId="2" borderId="108" xfId="0" applyFont="1" applyFill="1" applyBorder="1" applyAlignment="1" applyProtection="1">
      <alignment horizontal="right" wrapText="1"/>
      <protection hidden="1"/>
    </xf>
    <xf numFmtId="0" fontId="9" fillId="0" borderId="0" xfId="0" applyFont="1" applyProtection="1">
      <protection hidden="1"/>
    </xf>
    <xf numFmtId="3" fontId="126" fillId="4" borderId="30" xfId="0" applyNumberFormat="1" applyFont="1" applyFill="1" applyBorder="1" applyAlignment="1" applyProtection="1">
      <alignment horizontal="center" vertical="center" wrapText="1"/>
      <protection locked="0"/>
    </xf>
    <xf numFmtId="3" fontId="126" fillId="4" borderId="62" xfId="0" applyNumberFormat="1" applyFont="1" applyFill="1" applyBorder="1" applyAlignment="1" applyProtection="1">
      <alignment horizontal="center" vertical="center" wrapText="1"/>
      <protection locked="0"/>
    </xf>
    <xf numFmtId="0" fontId="127" fillId="4" borderId="26" xfId="0" applyFont="1" applyFill="1" applyBorder="1" applyAlignment="1" applyProtection="1">
      <alignment horizontal="center"/>
      <protection locked="0"/>
    </xf>
    <xf numFmtId="3" fontId="93" fillId="4" borderId="3" xfId="0" applyNumberFormat="1" applyFont="1" applyFill="1" applyBorder="1" applyAlignment="1" applyProtection="1">
      <alignment horizontal="center" vertical="center" wrapText="1"/>
      <protection locked="0"/>
    </xf>
    <xf numFmtId="3" fontId="93" fillId="4" borderId="33" xfId="0" applyNumberFormat="1" applyFont="1" applyFill="1" applyBorder="1" applyAlignment="1" applyProtection="1">
      <alignment horizontal="center" vertical="center" wrapText="1"/>
      <protection locked="0"/>
    </xf>
    <xf numFmtId="166" fontId="93" fillId="4" borderId="3" xfId="0" applyNumberFormat="1" applyFont="1" applyFill="1" applyBorder="1" applyAlignment="1" applyProtection="1">
      <alignment horizontal="center" wrapText="1"/>
      <protection locked="0" hidden="1"/>
    </xf>
    <xf numFmtId="3" fontId="83" fillId="4" borderId="3" xfId="0" applyNumberFormat="1" applyFont="1" applyFill="1" applyBorder="1" applyAlignment="1" applyProtection="1">
      <alignment horizontal="center" wrapText="1"/>
      <protection locked="0"/>
    </xf>
    <xf numFmtId="3" fontId="83" fillId="4" borderId="3" xfId="0" applyNumberFormat="1" applyFont="1" applyFill="1" applyBorder="1" applyAlignment="1" applyProtection="1">
      <alignment horizontal="center" vertical="center" wrapText="1"/>
      <protection locked="0"/>
    </xf>
    <xf numFmtId="3" fontId="93" fillId="4" borderId="3" xfId="0" applyNumberFormat="1" applyFont="1" applyFill="1" applyBorder="1" applyAlignment="1" applyProtection="1">
      <alignment wrapText="1"/>
      <protection locked="0"/>
    </xf>
    <xf numFmtId="0" fontId="127" fillId="4" borderId="26" xfId="0" applyFont="1" applyFill="1" applyBorder="1" applyAlignment="1" applyProtection="1">
      <alignment horizontal="left"/>
      <protection locked="0"/>
    </xf>
    <xf numFmtId="0" fontId="0" fillId="2" borderId="26" xfId="0" applyFill="1" applyBorder="1" applyAlignment="1" applyProtection="1">
      <alignment horizontal="left" vertical="top" wrapText="1"/>
      <protection hidden="1"/>
    </xf>
    <xf numFmtId="0" fontId="0" fillId="23" borderId="0" xfId="0" applyFill="1"/>
    <xf numFmtId="3" fontId="93" fillId="4" borderId="12" xfId="0" applyNumberFormat="1" applyFont="1" applyFill="1" applyBorder="1" applyAlignment="1" applyProtection="1">
      <alignment horizontal="center" vertical="center" wrapText="1"/>
      <protection locked="0"/>
    </xf>
    <xf numFmtId="3" fontId="93" fillId="4" borderId="68" xfId="0" applyNumberFormat="1" applyFont="1" applyFill="1" applyBorder="1" applyAlignment="1" applyProtection="1">
      <alignment horizontal="center" vertical="center" wrapText="1"/>
      <protection locked="0"/>
    </xf>
    <xf numFmtId="3" fontId="93" fillId="4" borderId="3" xfId="0" applyNumberFormat="1" applyFont="1" applyFill="1" applyBorder="1" applyAlignment="1" applyProtection="1">
      <alignment vertical="center" wrapText="1"/>
      <protection locked="0"/>
    </xf>
    <xf numFmtId="167" fontId="93" fillId="4" borderId="3" xfId="0" applyNumberFormat="1" applyFont="1" applyFill="1" applyBorder="1" applyAlignment="1" applyProtection="1">
      <alignment horizontal="center" wrapText="1"/>
      <protection locked="0" hidden="1"/>
    </xf>
    <xf numFmtId="167" fontId="93" fillId="4" borderId="24" xfId="0" applyNumberFormat="1" applyFont="1" applyFill="1" applyBorder="1" applyAlignment="1" applyProtection="1">
      <alignment horizontal="center" wrapText="1"/>
      <protection locked="0" hidden="1"/>
    </xf>
    <xf numFmtId="166" fontId="126" fillId="4" borderId="3" xfId="0" applyNumberFormat="1" applyFont="1" applyFill="1" applyBorder="1" applyAlignment="1" applyProtection="1">
      <alignment horizontal="center"/>
      <protection locked="0"/>
    </xf>
    <xf numFmtId="166" fontId="126" fillId="4" borderId="24" xfId="0" applyNumberFormat="1" applyFont="1" applyFill="1" applyBorder="1" applyAlignment="1" applyProtection="1">
      <alignment horizontal="center"/>
      <protection locked="0"/>
    </xf>
    <xf numFmtId="0" fontId="0" fillId="0" borderId="17" xfId="0" applyBorder="1"/>
    <xf numFmtId="0" fontId="9" fillId="0" borderId="28" xfId="0" applyFont="1" applyBorder="1" applyAlignment="1">
      <alignment horizontal="center"/>
    </xf>
    <xf numFmtId="166" fontId="12" fillId="0" borderId="26" xfId="0" applyNumberFormat="1" applyFont="1" applyBorder="1" applyAlignment="1">
      <alignment horizontal="center"/>
    </xf>
    <xf numFmtId="0" fontId="1" fillId="0" borderId="0" xfId="1486" applyFont="1"/>
    <xf numFmtId="0" fontId="42" fillId="0" borderId="78" xfId="0" applyFont="1" applyBorder="1"/>
    <xf numFmtId="14" fontId="9" fillId="4" borderId="2" xfId="0" applyNumberFormat="1" applyFont="1" applyFill="1" applyBorder="1" applyAlignment="1" applyProtection="1">
      <alignment horizontal="left"/>
      <protection locked="0"/>
    </xf>
    <xf numFmtId="0" fontId="11" fillId="0" borderId="0" xfId="0" applyFont="1"/>
    <xf numFmtId="14" fontId="9" fillId="0" borderId="2" xfId="0" applyNumberFormat="1" applyFont="1" applyBorder="1" applyAlignment="1" applyProtection="1">
      <alignment horizontal="left"/>
      <protection locked="0"/>
    </xf>
    <xf numFmtId="0" fontId="31" fillId="0" borderId="0" xfId="0" applyFont="1"/>
    <xf numFmtId="0" fontId="9" fillId="0" borderId="0" xfId="0" applyFont="1" applyAlignment="1" applyProtection="1">
      <alignment horizontal="center"/>
      <protection locked="0"/>
    </xf>
    <xf numFmtId="0" fontId="44" fillId="8" borderId="0" xfId="0" applyFont="1" applyFill="1"/>
    <xf numFmtId="0" fontId="11" fillId="0" borderId="6" xfId="0" applyFont="1" applyBorder="1" applyAlignment="1">
      <alignment horizontal="center"/>
    </xf>
    <xf numFmtId="2" fontId="9" fillId="0" borderId="0" xfId="0" applyNumberFormat="1" applyFont="1" applyAlignment="1">
      <alignment horizontal="center"/>
    </xf>
    <xf numFmtId="2" fontId="9" fillId="0" borderId="0" xfId="0" applyNumberFormat="1" applyFont="1" applyAlignment="1" applyProtection="1">
      <alignment horizontal="center"/>
      <protection locked="0"/>
    </xf>
    <xf numFmtId="1" fontId="9" fillId="0" borderId="61" xfId="0" applyNumberFormat="1" applyFont="1" applyBorder="1"/>
    <xf numFmtId="1" fontId="9" fillId="0" borderId="63" xfId="0" applyNumberFormat="1" applyFont="1" applyBorder="1"/>
    <xf numFmtId="1" fontId="9" fillId="0" borderId="59" xfId="0" applyNumberFormat="1" applyFont="1" applyBorder="1"/>
    <xf numFmtId="1" fontId="9" fillId="0" borderId="60" xfId="0" applyNumberFormat="1" applyFont="1" applyBorder="1"/>
    <xf numFmtId="0" fontId="11" fillId="0" borderId="14" xfId="0" applyFont="1" applyBorder="1" applyAlignment="1">
      <alignment horizontal="center"/>
    </xf>
    <xf numFmtId="9" fontId="9" fillId="4" borderId="3" xfId="7" applyFont="1" applyFill="1" applyBorder="1" applyAlignment="1" applyProtection="1">
      <alignment horizontal="center" vertical="center"/>
      <protection locked="0"/>
    </xf>
    <xf numFmtId="0" fontId="11" fillId="0" borderId="13" xfId="0" applyFont="1" applyBorder="1" applyAlignment="1">
      <alignment horizontal="center"/>
    </xf>
    <xf numFmtId="0" fontId="36" fillId="0" borderId="0" xfId="0" applyFont="1" applyAlignment="1">
      <alignment vertical="top" wrapText="1"/>
    </xf>
    <xf numFmtId="0" fontId="9" fillId="0" borderId="61" xfId="0" applyFont="1" applyBorder="1" applyAlignment="1">
      <alignment horizontal="left" wrapText="1"/>
    </xf>
    <xf numFmtId="0" fontId="9" fillId="0" borderId="64" xfId="0" applyFont="1" applyBorder="1" applyAlignment="1">
      <alignment wrapText="1"/>
    </xf>
    <xf numFmtId="0" fontId="9" fillId="0" borderId="61" xfId="0" applyFont="1" applyBorder="1" applyAlignment="1">
      <alignment wrapText="1"/>
    </xf>
    <xf numFmtId="0" fontId="9" fillId="0" borderId="64" xfId="0" applyFont="1" applyBorder="1" applyAlignment="1">
      <alignment horizontal="left" wrapText="1"/>
    </xf>
    <xf numFmtId="0" fontId="9" fillId="0" borderId="63" xfId="0" applyFont="1" applyBorder="1" applyAlignment="1">
      <alignment wrapText="1"/>
    </xf>
    <xf numFmtId="0" fontId="9" fillId="0" borderId="59" xfId="0" applyFont="1" applyBorder="1" applyAlignment="1">
      <alignment horizontal="left" wrapText="1"/>
    </xf>
    <xf numFmtId="0" fontId="9" fillId="0" borderId="1" xfId="0" applyFont="1" applyBorder="1" applyAlignment="1">
      <alignment wrapText="1"/>
    </xf>
    <xf numFmtId="0" fontId="9" fillId="0" borderId="59" xfId="0" applyFont="1" applyBorder="1" applyAlignment="1">
      <alignment wrapText="1"/>
    </xf>
    <xf numFmtId="0" fontId="9" fillId="0" borderId="1" xfId="0" applyFont="1" applyBorder="1" applyAlignment="1">
      <alignment horizontal="left" wrapText="1"/>
    </xf>
    <xf numFmtId="0" fontId="9" fillId="0" borderId="60" xfId="0" applyFont="1" applyBorder="1" applyAlignment="1">
      <alignment wrapText="1"/>
    </xf>
    <xf numFmtId="0" fontId="9" fillId="0" borderId="1" xfId="0" applyFont="1" applyBorder="1"/>
    <xf numFmtId="0" fontId="9" fillId="0" borderId="59" xfId="0" applyFont="1" applyBorder="1"/>
    <xf numFmtId="167" fontId="9" fillId="11" borderId="3" xfId="0" applyNumberFormat="1" applyFont="1" applyFill="1" applyBorder="1" applyAlignment="1" applyProtection="1">
      <alignment horizontal="left"/>
      <protection locked="0"/>
    </xf>
    <xf numFmtId="0" fontId="9" fillId="0" borderId="62" xfId="0" applyFont="1" applyBorder="1" applyAlignment="1">
      <alignment horizontal="right"/>
    </xf>
    <xf numFmtId="166" fontId="15" fillId="0" borderId="0" xfId="0" applyNumberFormat="1" applyFont="1" applyAlignment="1">
      <alignment horizontal="center"/>
    </xf>
    <xf numFmtId="166" fontId="9" fillId="0" borderId="0" xfId="0" applyNumberFormat="1" applyFont="1" applyAlignment="1">
      <alignment horizontal="center"/>
    </xf>
    <xf numFmtId="1" fontId="9" fillId="0" borderId="0" xfId="0" applyNumberFormat="1" applyFont="1" applyAlignment="1">
      <alignment horizontal="right"/>
    </xf>
    <xf numFmtId="167" fontId="9" fillId="0" borderId="0" xfId="0" applyNumberFormat="1" applyFont="1" applyAlignment="1">
      <alignment horizontal="right"/>
    </xf>
    <xf numFmtId="168" fontId="9" fillId="0" borderId="0" xfId="0" applyNumberFormat="1" applyFont="1" applyAlignment="1" applyProtection="1">
      <alignment horizontal="center"/>
      <protection locked="0"/>
    </xf>
    <xf numFmtId="2" fontId="11" fillId="0" borderId="0" xfId="0" applyNumberFormat="1" applyFont="1" applyAlignment="1">
      <alignment horizontal="center"/>
    </xf>
    <xf numFmtId="167" fontId="11" fillId="0" borderId="0" xfId="0" quotePrefix="1" applyNumberFormat="1" applyFont="1" applyAlignment="1">
      <alignment horizontal="center"/>
    </xf>
    <xf numFmtId="2" fontId="32" fillId="0" borderId="0" xfId="0" applyNumberFormat="1" applyFont="1" applyAlignment="1">
      <alignment horizontal="center"/>
    </xf>
    <xf numFmtId="166" fontId="9" fillId="0" borderId="0" xfId="0" quotePrefix="1" applyNumberFormat="1" applyFont="1" applyAlignment="1">
      <alignment horizontal="center"/>
    </xf>
    <xf numFmtId="167" fontId="9" fillId="0" borderId="0" xfId="0" applyNumberFormat="1" applyFont="1"/>
    <xf numFmtId="1" fontId="9" fillId="0" borderId="0" xfId="0" applyNumberFormat="1" applyFont="1"/>
    <xf numFmtId="2" fontId="9" fillId="0" borderId="0" xfId="0" applyNumberFormat="1" applyFont="1"/>
    <xf numFmtId="0" fontId="9" fillId="0" borderId="91" xfId="0" applyFont="1" applyBorder="1" applyAlignment="1">
      <alignment horizontal="center"/>
    </xf>
    <xf numFmtId="0" fontId="9" fillId="0" borderId="92" xfId="0" applyFont="1" applyBorder="1" applyAlignment="1">
      <alignment horizontal="center"/>
    </xf>
    <xf numFmtId="166" fontId="9" fillId="0" borderId="0" xfId="0" applyNumberFormat="1" applyFont="1" applyAlignment="1">
      <alignment horizontal="left" vertical="center"/>
    </xf>
    <xf numFmtId="1" fontId="9" fillId="0" borderId="0" xfId="0" applyNumberFormat="1" applyFont="1" applyAlignment="1">
      <alignment horizontal="left" vertical="center"/>
    </xf>
    <xf numFmtId="166" fontId="9" fillId="0" borderId="0" xfId="0" applyNumberFormat="1" applyFont="1" applyAlignment="1">
      <alignment horizontal="left"/>
    </xf>
    <xf numFmtId="166" fontId="9" fillId="0" borderId="0" xfId="0" applyNumberFormat="1" applyFont="1" applyAlignment="1">
      <alignment horizontal="right" vertical="center"/>
    </xf>
    <xf numFmtId="0" fontId="9" fillId="0" borderId="17" xfId="0" applyFont="1" applyBorder="1" applyAlignment="1">
      <alignment horizontal="center"/>
    </xf>
    <xf numFmtId="0" fontId="23" fillId="0" borderId="0" xfId="0" applyFont="1" applyAlignment="1">
      <alignment horizontal="centerContinuous"/>
    </xf>
    <xf numFmtId="0" fontId="23" fillId="0" borderId="0" xfId="0" applyFont="1" applyAlignment="1">
      <alignment horizontal="center"/>
    </xf>
    <xf numFmtId="0" fontId="9" fillId="0" borderId="49" xfId="0" applyFont="1" applyBorder="1"/>
    <xf numFmtId="0" fontId="44" fillId="0" borderId="0" xfId="0" applyFont="1"/>
    <xf numFmtId="1" fontId="11" fillId="2" borderId="0" xfId="0" applyNumberFormat="1" applyFont="1" applyFill="1" applyProtection="1">
      <protection hidden="1"/>
    </xf>
    <xf numFmtId="0" fontId="9" fillId="2" borderId="0" xfId="0" applyFont="1" applyFill="1" applyAlignment="1" applyProtection="1">
      <alignment horizontal="left"/>
      <protection hidden="1"/>
    </xf>
    <xf numFmtId="1" fontId="9" fillId="2" borderId="0" xfId="0" quotePrefix="1" applyNumberFormat="1" applyFont="1" applyFill="1" applyAlignment="1" applyProtection="1">
      <alignment horizontal="left"/>
      <protection hidden="1"/>
    </xf>
    <xf numFmtId="166" fontId="9" fillId="2" borderId="0" xfId="0" applyNumberFormat="1" applyFont="1" applyFill="1" applyAlignment="1" applyProtection="1">
      <alignment horizontal="left"/>
      <protection hidden="1"/>
    </xf>
    <xf numFmtId="3" fontId="9" fillId="2" borderId="0" xfId="0" applyNumberFormat="1" applyFont="1" applyFill="1" applyAlignment="1" applyProtection="1">
      <alignment horizontal="left"/>
      <protection hidden="1"/>
    </xf>
    <xf numFmtId="3" fontId="9" fillId="12" borderId="3" xfId="0" applyNumberFormat="1" applyFont="1" applyFill="1" applyBorder="1" applyAlignment="1">
      <alignment wrapText="1"/>
    </xf>
    <xf numFmtId="0" fontId="9" fillId="2" borderId="0" xfId="0" applyFont="1" applyFill="1" applyAlignment="1" applyProtection="1">
      <alignment vertical="center" wrapText="1"/>
      <protection hidden="1"/>
    </xf>
    <xf numFmtId="3" fontId="9" fillId="7" borderId="3" xfId="0" applyNumberFormat="1" applyFont="1" applyFill="1" applyBorder="1" applyAlignment="1" applyProtection="1">
      <alignment horizontal="center" vertical="center" wrapText="1"/>
      <protection hidden="1"/>
    </xf>
    <xf numFmtId="3" fontId="9" fillId="7" borderId="25" xfId="0" applyNumberFormat="1" applyFont="1" applyFill="1" applyBorder="1" applyAlignment="1" applyProtection="1">
      <alignment horizontal="center" vertical="center" wrapText="1"/>
      <protection hidden="1"/>
    </xf>
    <xf numFmtId="3" fontId="9" fillId="7" borderId="10" xfId="0" applyNumberFormat="1" applyFont="1" applyFill="1" applyBorder="1" applyAlignment="1" applyProtection="1">
      <alignment horizontal="center" vertical="center" wrapText="1"/>
      <protection hidden="1"/>
    </xf>
    <xf numFmtId="0" fontId="12" fillId="2" borderId="3" xfId="0" applyFont="1" applyFill="1" applyBorder="1" applyAlignment="1" applyProtection="1">
      <alignment horizontal="center" vertical="top" wrapText="1"/>
      <protection hidden="1"/>
    </xf>
    <xf numFmtId="167" fontId="9" fillId="2" borderId="3" xfId="0" applyNumberFormat="1" applyFont="1" applyFill="1" applyBorder="1" applyAlignment="1" applyProtection="1">
      <alignment horizontal="center" vertical="center" wrapText="1"/>
      <protection hidden="1"/>
    </xf>
    <xf numFmtId="3" fontId="9" fillId="2" borderId="2" xfId="0" applyNumberFormat="1" applyFont="1" applyFill="1" applyBorder="1" applyAlignment="1" applyProtection="1">
      <alignment horizontal="center" vertical="center" wrapText="1"/>
      <protection hidden="1"/>
    </xf>
    <xf numFmtId="167" fontId="9" fillId="12" borderId="0" xfId="0" applyNumberFormat="1" applyFont="1" applyFill="1" applyAlignment="1" applyProtection="1">
      <alignment horizontal="center" vertical="center" wrapText="1"/>
      <protection hidden="1"/>
    </xf>
    <xf numFmtId="1" fontId="11" fillId="2" borderId="0" xfId="0" applyNumberFormat="1" applyFont="1" applyFill="1" applyAlignment="1" applyProtection="1">
      <alignment horizontal="center"/>
      <protection hidden="1"/>
    </xf>
    <xf numFmtId="0" fontId="9" fillId="3" borderId="0" xfId="0" applyFont="1" applyFill="1" applyProtection="1">
      <protection hidden="1"/>
    </xf>
    <xf numFmtId="0" fontId="11" fillId="3" borderId="0" xfId="0" applyFont="1" applyFill="1" applyProtection="1">
      <protection hidden="1"/>
    </xf>
    <xf numFmtId="2" fontId="9" fillId="2" borderId="0" xfId="0" applyNumberFormat="1" applyFont="1" applyFill="1" applyProtection="1">
      <protection hidden="1"/>
    </xf>
    <xf numFmtId="2" fontId="9" fillId="2" borderId="0" xfId="0" applyNumberFormat="1" applyFont="1" applyFill="1" applyAlignment="1" applyProtection="1">
      <alignment horizontal="center"/>
      <protection hidden="1"/>
    </xf>
    <xf numFmtId="0" fontId="27" fillId="2" borderId="0" xfId="0" applyFont="1" applyFill="1" applyAlignment="1" applyProtection="1">
      <alignment horizontal="right"/>
      <protection hidden="1"/>
    </xf>
    <xf numFmtId="168" fontId="9" fillId="4" borderId="2" xfId="0" applyNumberFormat="1" applyFont="1" applyFill="1" applyBorder="1" applyAlignment="1" applyProtection="1">
      <alignment horizontal="center"/>
      <protection locked="0"/>
    </xf>
    <xf numFmtId="3" fontId="9" fillId="2" borderId="11" xfId="0" applyNumberFormat="1" applyFont="1" applyFill="1" applyBorder="1" applyAlignment="1" applyProtection="1">
      <alignment horizontal="left" vertical="center" wrapText="1"/>
      <protection hidden="1"/>
    </xf>
    <xf numFmtId="1" fontId="9" fillId="2" borderId="0" xfId="0" applyNumberFormat="1" applyFont="1" applyFill="1" applyProtection="1">
      <protection hidden="1"/>
    </xf>
    <xf numFmtId="1" fontId="9" fillId="2" borderId="0" xfId="0" quotePrefix="1" applyNumberFormat="1" applyFont="1" applyFill="1" applyAlignment="1" applyProtection="1">
      <alignment horizontal="center"/>
      <protection hidden="1"/>
    </xf>
    <xf numFmtId="9" fontId="11" fillId="2" borderId="0" xfId="0" applyNumberFormat="1" applyFont="1" applyFill="1" applyAlignment="1" applyProtection="1">
      <alignment horizontal="center"/>
      <protection hidden="1"/>
    </xf>
    <xf numFmtId="0" fontId="11" fillId="6" borderId="0" xfId="0" applyFont="1" applyFill="1" applyProtection="1">
      <protection hidden="1"/>
    </xf>
    <xf numFmtId="0" fontId="12" fillId="0" borderId="0" xfId="0" applyFont="1" applyAlignment="1" applyProtection="1">
      <alignment horizontal="left"/>
      <protection hidden="1"/>
    </xf>
    <xf numFmtId="0" fontId="9" fillId="4" borderId="2" xfId="0" applyFont="1" applyFill="1" applyBorder="1" applyAlignment="1" applyProtection="1">
      <alignment horizontal="center"/>
      <protection locked="0"/>
    </xf>
    <xf numFmtId="0" fontId="9" fillId="0" borderId="0" xfId="0" applyFont="1" applyAlignment="1" applyProtection="1">
      <alignment horizontal="center"/>
      <protection hidden="1"/>
    </xf>
    <xf numFmtId="0" fontId="9" fillId="6" borderId="0" xfId="0" quotePrefix="1" applyFont="1" applyFill="1" applyAlignment="1" applyProtection="1">
      <alignment horizontal="centerContinuous"/>
      <protection hidden="1"/>
    </xf>
    <xf numFmtId="0" fontId="9" fillId="0" borderId="7" xfId="0" applyFont="1" applyBorder="1" applyProtection="1">
      <protection hidden="1"/>
    </xf>
    <xf numFmtId="0" fontId="23" fillId="0" borderId="2" xfId="0" applyFont="1" applyBorder="1" applyAlignment="1">
      <alignment horizontal="left"/>
    </xf>
    <xf numFmtId="169" fontId="9" fillId="4" borderId="2" xfId="0" applyNumberFormat="1" applyFont="1" applyFill="1" applyBorder="1" applyAlignment="1" applyProtection="1">
      <alignment horizontal="center"/>
      <protection locked="0"/>
    </xf>
    <xf numFmtId="2" fontId="9" fillId="4" borderId="1" xfId="0" applyNumberFormat="1" applyFont="1" applyFill="1" applyBorder="1" applyAlignment="1" applyProtection="1">
      <alignment horizontal="center"/>
      <protection locked="0"/>
    </xf>
    <xf numFmtId="166" fontId="11" fillId="6" borderId="0" xfId="0" applyNumberFormat="1" applyFont="1" applyFill="1" applyAlignment="1" applyProtection="1">
      <alignment horizontal="left"/>
      <protection hidden="1"/>
    </xf>
    <xf numFmtId="0" fontId="9" fillId="6" borderId="0" xfId="0" applyFont="1" applyFill="1" applyAlignment="1" applyProtection="1">
      <alignment horizontal="center"/>
      <protection hidden="1"/>
    </xf>
    <xf numFmtId="0" fontId="9" fillId="6" borderId="18" xfId="0" applyFont="1" applyFill="1" applyBorder="1" applyAlignment="1" applyProtection="1">
      <alignment horizontal="center"/>
      <protection hidden="1"/>
    </xf>
    <xf numFmtId="0" fontId="9" fillId="6" borderId="4" xfId="0" quotePrefix="1" applyFont="1" applyFill="1" applyBorder="1" applyAlignment="1" applyProtection="1">
      <alignment horizontal="centerContinuous"/>
      <protection hidden="1"/>
    </xf>
    <xf numFmtId="0" fontId="9" fillId="0" borderId="4" xfId="0" applyFont="1" applyBorder="1" applyProtection="1">
      <protection hidden="1"/>
    </xf>
    <xf numFmtId="0" fontId="23" fillId="0" borderId="1" xfId="0" applyFont="1" applyBorder="1" applyAlignment="1">
      <alignment horizontal="left"/>
    </xf>
    <xf numFmtId="166" fontId="11" fillId="6" borderId="35" xfId="0" applyNumberFormat="1" applyFont="1" applyFill="1" applyBorder="1" applyAlignment="1" applyProtection="1">
      <alignment horizontal="left"/>
      <protection hidden="1"/>
    </xf>
    <xf numFmtId="0" fontId="9" fillId="0" borderId="3" xfId="0" applyFont="1" applyBorder="1" applyAlignment="1">
      <alignment horizontal="center"/>
    </xf>
    <xf numFmtId="14" fontId="9" fillId="0" borderId="2" xfId="0" applyNumberFormat="1" applyFont="1" applyBorder="1" applyAlignment="1">
      <alignment horizontal="left"/>
    </xf>
    <xf numFmtId="0" fontId="9" fillId="0" borderId="2" xfId="0" applyFont="1" applyBorder="1" applyAlignment="1">
      <alignment horizontal="left"/>
    </xf>
    <xf numFmtId="0" fontId="9" fillId="0" borderId="0" xfId="0" applyFont="1" applyAlignment="1" applyProtection="1">
      <alignment horizontal="left"/>
      <protection locked="0"/>
    </xf>
    <xf numFmtId="1" fontId="11" fillId="0" borderId="0" xfId="0" applyNumberFormat="1" applyFont="1" applyAlignment="1">
      <alignment horizontal="right"/>
    </xf>
    <xf numFmtId="0" fontId="11" fillId="0" borderId="0" xfId="0" quotePrefix="1" applyFont="1"/>
    <xf numFmtId="0" fontId="11" fillId="0" borderId="4" xfId="0" applyFont="1" applyBorder="1" applyAlignment="1">
      <alignment horizontal="left"/>
    </xf>
    <xf numFmtId="166" fontId="9" fillId="0" borderId="16" xfId="0" applyNumberFormat="1" applyFont="1" applyBorder="1" applyAlignment="1">
      <alignment horizontal="center"/>
    </xf>
    <xf numFmtId="0" fontId="11" fillId="0" borderId="4" xfId="0" applyFont="1" applyBorder="1"/>
    <xf numFmtId="0" fontId="11" fillId="0" borderId="36" xfId="0" applyFont="1" applyBorder="1" applyAlignment="1">
      <alignment horizontal="centerContinuous"/>
    </xf>
    <xf numFmtId="0" fontId="11" fillId="0" borderId="0" xfId="0" applyFont="1" applyAlignment="1">
      <alignment horizontal="centerContinuous"/>
    </xf>
    <xf numFmtId="0" fontId="11" fillId="0" borderId="0" xfId="0" applyFont="1" applyAlignment="1">
      <alignment horizontal="left"/>
    </xf>
    <xf numFmtId="0" fontId="11" fillId="5" borderId="0" xfId="0" applyFont="1" applyFill="1" applyAlignment="1">
      <alignment horizontal="center"/>
    </xf>
    <xf numFmtId="0" fontId="11" fillId="5" borderId="0" xfId="0" applyFont="1" applyFill="1" applyAlignment="1">
      <alignment horizontal="centerContinuous"/>
    </xf>
    <xf numFmtId="167" fontId="9" fillId="0" borderId="2" xfId="0" applyNumberFormat="1" applyFont="1" applyBorder="1" applyAlignment="1">
      <alignment horizontal="center"/>
    </xf>
    <xf numFmtId="0" fontId="11" fillId="2" borderId="0" xfId="0" applyFont="1" applyFill="1" applyAlignment="1">
      <alignment horizontal="center"/>
    </xf>
    <xf numFmtId="0" fontId="11" fillId="6" borderId="0" xfId="0" applyFont="1" applyFill="1" applyAlignment="1">
      <alignment horizontal="center"/>
    </xf>
    <xf numFmtId="166" fontId="12" fillId="0" borderId="0" xfId="0" quotePrefix="1" applyNumberFormat="1" applyFont="1" applyAlignment="1">
      <alignment horizontal="right"/>
    </xf>
    <xf numFmtId="166" fontId="32" fillId="0" borderId="0" xfId="0" applyNumberFormat="1" applyFont="1" applyAlignment="1">
      <alignment horizontal="center"/>
    </xf>
    <xf numFmtId="0" fontId="11" fillId="0" borderId="0" xfId="0" quotePrefix="1" applyFont="1" applyAlignment="1">
      <alignment horizontal="right"/>
    </xf>
    <xf numFmtId="0" fontId="11" fillId="0" borderId="50" xfId="0" applyFont="1" applyBorder="1" applyAlignment="1">
      <alignment horizontal="center"/>
    </xf>
    <xf numFmtId="0" fontId="11" fillId="0" borderId="91" xfId="0" applyFont="1" applyBorder="1" applyAlignment="1">
      <alignment horizontal="center"/>
    </xf>
    <xf numFmtId="0" fontId="11" fillId="0" borderId="92" xfId="0" applyFont="1" applyBorder="1" applyAlignment="1">
      <alignment horizontal="center"/>
    </xf>
    <xf numFmtId="0" fontId="9" fillId="0" borderId="11" xfId="0" applyFont="1" applyBorder="1"/>
    <xf numFmtId="166" fontId="9" fillId="0" borderId="0" xfId="0" quotePrefix="1" applyNumberFormat="1" applyFont="1"/>
    <xf numFmtId="2" fontId="9" fillId="0" borderId="2" xfId="0" applyNumberFormat="1" applyFont="1" applyBorder="1" applyAlignment="1">
      <alignment horizontal="centerContinuous"/>
    </xf>
    <xf numFmtId="167" fontId="9" fillId="0" borderId="2" xfId="0" applyNumberFormat="1" applyFont="1" applyBorder="1" applyAlignment="1">
      <alignment horizontal="centerContinuous"/>
    </xf>
    <xf numFmtId="0" fontId="9" fillId="0" borderId="0" xfId="0" applyFont="1" applyAlignment="1">
      <alignment horizontal="centerContinuous"/>
    </xf>
    <xf numFmtId="0" fontId="23" fillId="0" borderId="0" xfId="0" applyFont="1" applyAlignment="1">
      <alignment horizontal="right"/>
    </xf>
    <xf numFmtId="0" fontId="11" fillId="0" borderId="0" xfId="0" quotePrefix="1" applyFont="1" applyAlignment="1">
      <alignment horizontal="center"/>
    </xf>
    <xf numFmtId="2" fontId="9" fillId="0" borderId="0" xfId="0" quotePrefix="1" applyNumberFormat="1" applyFont="1" applyAlignment="1">
      <alignment horizontal="center"/>
    </xf>
    <xf numFmtId="0" fontId="36" fillId="0" borderId="26" xfId="0" applyFont="1" applyBorder="1" applyAlignment="1" applyProtection="1">
      <alignment vertical="top" wrapText="1"/>
      <protection locked="0"/>
    </xf>
    <xf numFmtId="0" fontId="36" fillId="0" borderId="28" xfId="0" applyFont="1" applyBorder="1" applyAlignment="1" applyProtection="1">
      <alignment vertical="top" wrapText="1"/>
      <protection locked="0"/>
    </xf>
    <xf numFmtId="0" fontId="36" fillId="0" borderId="0" xfId="0" applyFont="1" applyAlignment="1" applyProtection="1">
      <alignment vertical="top" wrapText="1"/>
      <protection locked="0"/>
    </xf>
    <xf numFmtId="168" fontId="9" fillId="4" borderId="0" xfId="0" applyNumberFormat="1" applyFont="1" applyFill="1" applyAlignment="1" applyProtection="1">
      <alignment horizontal="center"/>
      <protection locked="0"/>
    </xf>
    <xf numFmtId="0" fontId="36" fillId="0" borderId="30" xfId="0" applyFont="1" applyBorder="1" applyAlignment="1" applyProtection="1">
      <alignment vertical="top" wrapText="1"/>
      <protection locked="0"/>
    </xf>
    <xf numFmtId="0" fontId="36" fillId="0" borderId="2" xfId="0" applyFont="1" applyBorder="1" applyAlignment="1" applyProtection="1">
      <alignment vertical="top" wrapText="1"/>
      <protection locked="0"/>
    </xf>
    <xf numFmtId="9" fontId="15" fillId="0" borderId="2" xfId="7" applyFont="1" applyFill="1" applyBorder="1" applyAlignment="1" applyProtection="1">
      <alignment horizontal="center"/>
    </xf>
    <xf numFmtId="166" fontId="15" fillId="0" borderId="2" xfId="0" applyNumberFormat="1" applyFont="1" applyBorder="1" applyAlignment="1">
      <alignment horizontal="center"/>
    </xf>
    <xf numFmtId="2" fontId="11" fillId="0" borderId="0" xfId="0" applyNumberFormat="1" applyFont="1" applyAlignment="1">
      <alignment horizontal="right"/>
    </xf>
    <xf numFmtId="2" fontId="32" fillId="0" borderId="2" xfId="0" applyNumberFormat="1" applyFont="1" applyBorder="1" applyAlignment="1">
      <alignment horizontal="center"/>
    </xf>
    <xf numFmtId="2" fontId="9" fillId="4" borderId="32" xfId="0" applyNumberFormat="1" applyFont="1" applyFill="1" applyBorder="1" applyAlignment="1" applyProtection="1">
      <alignment horizontal="center"/>
      <protection locked="0"/>
    </xf>
    <xf numFmtId="1" fontId="9" fillId="0" borderId="0" xfId="0" applyNumberFormat="1" applyFont="1" applyAlignment="1">
      <alignment horizontal="center"/>
    </xf>
    <xf numFmtId="166" fontId="9" fillId="0" borderId="25" xfId="0" quotePrefix="1" applyNumberFormat="1" applyFont="1" applyBorder="1" applyAlignment="1">
      <alignment horizontal="center"/>
    </xf>
    <xf numFmtId="1" fontId="9" fillId="2" borderId="0" xfId="0" applyNumberFormat="1" applyFont="1" applyFill="1" applyAlignment="1" applyProtection="1">
      <alignment horizontal="left"/>
      <protection hidden="1"/>
    </xf>
    <xf numFmtId="0" fontId="30" fillId="0" borderId="0" xfId="0" applyFont="1" applyAlignment="1">
      <alignment vertical="top" wrapText="1"/>
    </xf>
    <xf numFmtId="0" fontId="11" fillId="2" borderId="0" xfId="0" applyFont="1" applyFill="1"/>
    <xf numFmtId="1" fontId="11" fillId="2" borderId="0" xfId="0" applyNumberFormat="1" applyFont="1" applyFill="1"/>
    <xf numFmtId="2" fontId="9" fillId="0" borderId="2" xfId="0" applyNumberFormat="1" applyFont="1" applyBorder="1" applyAlignment="1">
      <alignment horizontal="center"/>
    </xf>
    <xf numFmtId="166" fontId="9" fillId="0" borderId="17" xfId="0" quotePrefix="1" applyNumberFormat="1" applyFont="1" applyBorder="1" applyAlignment="1">
      <alignment horizontal="center"/>
    </xf>
    <xf numFmtId="0" fontId="9" fillId="2" borderId="0" xfId="0" applyFont="1" applyFill="1" applyAlignment="1">
      <alignment shrinkToFit="1"/>
    </xf>
    <xf numFmtId="0" fontId="9" fillId="3" borderId="0" xfId="0" applyFont="1" applyFill="1" applyAlignment="1">
      <alignment horizontal="right"/>
    </xf>
    <xf numFmtId="0" fontId="9" fillId="3" borderId="0" xfId="0" applyFont="1" applyFill="1"/>
    <xf numFmtId="166" fontId="9" fillId="2" borderId="0" xfId="0" applyNumberFormat="1" applyFont="1" applyFill="1" applyAlignment="1">
      <alignment horizontal="center"/>
    </xf>
    <xf numFmtId="166" fontId="9" fillId="2" borderId="0" xfId="0" quotePrefix="1" applyNumberFormat="1" applyFont="1" applyFill="1" applyAlignment="1">
      <alignment horizontal="center"/>
    </xf>
    <xf numFmtId="167" fontId="9" fillId="2" borderId="0" xfId="0" applyNumberFormat="1" applyFont="1" applyFill="1" applyAlignment="1">
      <alignment horizontal="center" shrinkToFit="1"/>
    </xf>
    <xf numFmtId="0" fontId="9" fillId="2" borderId="0" xfId="0" applyFont="1" applyFill="1" applyAlignment="1">
      <alignment horizontal="center" shrinkToFit="1"/>
    </xf>
    <xf numFmtId="0" fontId="9" fillId="2" borderId="0" xfId="0" quotePrefix="1" applyFont="1" applyFill="1" applyAlignment="1">
      <alignment horizontal="center" shrinkToFit="1"/>
    </xf>
    <xf numFmtId="2" fontId="9" fillId="2" borderId="0" xfId="0" applyNumberFormat="1" applyFont="1" applyFill="1"/>
    <xf numFmtId="166" fontId="9" fillId="2" borderId="0" xfId="0" applyNumberFormat="1" applyFont="1" applyFill="1"/>
    <xf numFmtId="166" fontId="9" fillId="2" borderId="0" xfId="0" quotePrefix="1" applyNumberFormat="1" applyFont="1" applyFill="1"/>
    <xf numFmtId="0" fontId="9" fillId="2" borderId="0" xfId="0" quotePrefix="1" applyFont="1" applyFill="1"/>
    <xf numFmtId="169" fontId="9" fillId="2" borderId="2" xfId="0" applyNumberFormat="1" applyFont="1" applyFill="1" applyBorder="1" applyAlignment="1">
      <alignment horizontal="center"/>
    </xf>
    <xf numFmtId="168" fontId="9" fillId="2" borderId="2" xfId="0" applyNumberFormat="1" applyFont="1" applyFill="1" applyBorder="1" applyAlignment="1">
      <alignment horizontal="center"/>
    </xf>
    <xf numFmtId="171" fontId="9" fillId="2" borderId="0" xfId="0" applyNumberFormat="1" applyFont="1" applyFill="1" applyAlignment="1">
      <alignment horizontal="center"/>
    </xf>
    <xf numFmtId="0" fontId="9" fillId="2" borderId="2" xfId="0" applyFont="1" applyFill="1" applyBorder="1" applyAlignment="1">
      <alignment horizontal="center"/>
    </xf>
    <xf numFmtId="171" fontId="9" fillId="2" borderId="0" xfId="0" quotePrefix="1" applyNumberFormat="1" applyFont="1" applyFill="1" applyAlignment="1">
      <alignment horizontal="center"/>
    </xf>
    <xf numFmtId="167" fontId="9" fillId="2" borderId="2" xfId="0" applyNumberFormat="1" applyFont="1" applyFill="1" applyBorder="1" applyAlignment="1">
      <alignment horizontal="center"/>
    </xf>
    <xf numFmtId="0" fontId="9" fillId="2" borderId="0" xfId="0" quotePrefix="1" applyFont="1" applyFill="1" applyAlignment="1">
      <alignment shrinkToFit="1"/>
    </xf>
    <xf numFmtId="169" fontId="9" fillId="2" borderId="0" xfId="0" applyNumberFormat="1" applyFont="1" applyFill="1"/>
    <xf numFmtId="171" fontId="9" fillId="2" borderId="0" xfId="0" applyNumberFormat="1" applyFont="1" applyFill="1"/>
    <xf numFmtId="168" fontId="9" fillId="2" borderId="0" xfId="0" applyNumberFormat="1" applyFont="1" applyFill="1" applyAlignment="1">
      <alignment horizontal="left"/>
    </xf>
    <xf numFmtId="169" fontId="11" fillId="2" borderId="0" xfId="0" applyNumberFormat="1" applyFont="1" applyFill="1" applyAlignment="1">
      <alignment horizontal="center"/>
    </xf>
    <xf numFmtId="0" fontId="9" fillId="2" borderId="2" xfId="0" applyFont="1" applyFill="1" applyBorder="1"/>
    <xf numFmtId="171" fontId="11" fillId="2" borderId="0" xfId="0" applyNumberFormat="1" applyFont="1" applyFill="1" applyAlignment="1">
      <alignment horizontal="center"/>
    </xf>
    <xf numFmtId="168" fontId="11" fillId="2" borderId="0" xfId="0" applyNumberFormat="1" applyFont="1" applyFill="1" applyAlignment="1">
      <alignment horizontal="center"/>
    </xf>
    <xf numFmtId="169" fontId="9" fillId="2" borderId="0" xfId="0" applyNumberFormat="1" applyFont="1" applyFill="1" applyAlignment="1">
      <alignment horizontal="center" vertical="center"/>
    </xf>
    <xf numFmtId="1" fontId="9" fillId="2" borderId="0" xfId="0" applyNumberFormat="1" applyFont="1" applyFill="1" applyAlignment="1">
      <alignment horizontal="center" vertical="center"/>
    </xf>
    <xf numFmtId="2" fontId="9" fillId="2" borderId="0" xfId="0" quotePrefix="1" applyNumberFormat="1" applyFont="1" applyFill="1" applyAlignment="1">
      <alignment horizontal="left"/>
    </xf>
    <xf numFmtId="169" fontId="11" fillId="2" borderId="0" xfId="0" applyNumberFormat="1" applyFont="1" applyFill="1" applyAlignment="1">
      <alignment horizontal="right"/>
    </xf>
    <xf numFmtId="169" fontId="11" fillId="2" borderId="0" xfId="0" applyNumberFormat="1" applyFont="1" applyFill="1"/>
    <xf numFmtId="0" fontId="11" fillId="2" borderId="0" xfId="0" applyFont="1" applyFill="1" applyAlignment="1">
      <alignment horizontal="right"/>
    </xf>
    <xf numFmtId="0" fontId="11" fillId="2" borderId="0" xfId="0" quotePrefix="1" applyFont="1" applyFill="1" applyAlignment="1">
      <alignment horizontal="center"/>
    </xf>
    <xf numFmtId="2" fontId="9" fillId="2" borderId="0" xfId="0" applyNumberFormat="1" applyFont="1" applyFill="1" applyAlignment="1">
      <alignment horizontal="center"/>
    </xf>
    <xf numFmtId="2" fontId="11" fillId="2" borderId="0" xfId="0" applyNumberFormat="1" applyFont="1" applyFill="1" applyAlignment="1">
      <alignment horizontal="center"/>
    </xf>
    <xf numFmtId="0" fontId="9" fillId="4" borderId="3" xfId="0" applyFont="1" applyFill="1" applyBorder="1" applyAlignment="1" applyProtection="1">
      <alignment horizontal="right"/>
      <protection locked="0"/>
    </xf>
    <xf numFmtId="2" fontId="9" fillId="2" borderId="0" xfId="0" quotePrefix="1" applyNumberFormat="1" applyFont="1" applyFill="1" applyAlignment="1">
      <alignment horizontal="center"/>
    </xf>
    <xf numFmtId="168" fontId="9" fillId="2" borderId="0" xfId="0" applyNumberFormat="1" applyFont="1" applyFill="1" applyAlignment="1">
      <alignment horizontal="center"/>
    </xf>
    <xf numFmtId="0" fontId="9" fillId="0" borderId="0" xfId="0" applyFont="1" applyAlignment="1" applyProtection="1">
      <alignment horizontal="right"/>
      <protection locked="0"/>
    </xf>
    <xf numFmtId="0" fontId="11" fillId="2" borderId="0" xfId="0" applyFont="1" applyFill="1" applyAlignment="1">
      <alignment horizontal="left"/>
    </xf>
    <xf numFmtId="169" fontId="9" fillId="2" borderId="2" xfId="0" applyNumberFormat="1" applyFont="1" applyFill="1" applyBorder="1" applyAlignment="1" applyProtection="1">
      <alignment horizontal="center"/>
      <protection hidden="1"/>
    </xf>
    <xf numFmtId="0" fontId="11" fillId="0" borderId="0" xfId="0" applyFont="1" applyAlignment="1">
      <alignment horizontal="center" vertical="top"/>
    </xf>
    <xf numFmtId="0" fontId="11" fillId="0" borderId="0" xfId="0" applyFont="1" applyAlignment="1">
      <alignment horizontal="center" vertical="top" wrapText="1"/>
    </xf>
    <xf numFmtId="0" fontId="11" fillId="2" borderId="0" xfId="0" quotePrefix="1" applyFont="1" applyFill="1" applyAlignment="1" applyProtection="1">
      <alignment horizontal="center" vertical="top"/>
      <protection hidden="1"/>
    </xf>
    <xf numFmtId="0" fontId="11" fillId="2" borderId="0" xfId="0" applyFont="1" applyFill="1" applyAlignment="1" applyProtection="1">
      <alignment horizontal="center" vertical="top"/>
      <protection hidden="1"/>
    </xf>
    <xf numFmtId="3" fontId="9" fillId="12" borderId="0" xfId="0" applyNumberFormat="1" applyFont="1" applyFill="1" applyAlignment="1" applyProtection="1">
      <alignment wrapText="1"/>
      <protection locked="0"/>
    </xf>
    <xf numFmtId="3" fontId="9" fillId="12" borderId="0" xfId="0" applyNumberFormat="1" applyFont="1" applyFill="1" applyAlignment="1" applyProtection="1">
      <alignment horizontal="center" vertical="center" wrapText="1"/>
      <protection locked="0"/>
    </xf>
    <xf numFmtId="3" fontId="9" fillId="4" borderId="3" xfId="0" applyNumberFormat="1" applyFont="1" applyFill="1" applyBorder="1" applyAlignment="1" applyProtection="1">
      <alignment horizontal="center" wrapText="1"/>
      <protection locked="0"/>
    </xf>
    <xf numFmtId="2" fontId="9" fillId="12" borderId="3" xfId="0" applyNumberFormat="1" applyFont="1" applyFill="1" applyBorder="1" applyAlignment="1" applyProtection="1">
      <alignment horizontal="center" wrapText="1"/>
      <protection locked="0"/>
    </xf>
    <xf numFmtId="164" fontId="9" fillId="2" borderId="2" xfId="1" applyNumberFormat="1" applyFont="1" applyFill="1" applyBorder="1" applyAlignment="1" applyProtection="1">
      <alignment horizontal="center"/>
      <protection hidden="1"/>
    </xf>
    <xf numFmtId="175" fontId="9" fillId="2" borderId="2" xfId="1" applyNumberFormat="1" applyFont="1" applyFill="1" applyBorder="1" applyAlignment="1" applyProtection="1">
      <alignment horizontal="center"/>
      <protection hidden="1"/>
    </xf>
    <xf numFmtId="173" fontId="9" fillId="2" borderId="2" xfId="1" applyNumberFormat="1" applyFont="1" applyFill="1" applyBorder="1" applyAlignment="1" applyProtection="1">
      <alignment horizontal="center"/>
      <protection hidden="1"/>
    </xf>
    <xf numFmtId="0" fontId="30" fillId="0" borderId="0" xfId="0" applyFont="1" applyAlignment="1">
      <alignment horizontal="left" vertical="top" wrapText="1"/>
    </xf>
    <xf numFmtId="2" fontId="9" fillId="2" borderId="2" xfId="0" applyNumberFormat="1" applyFont="1" applyFill="1" applyBorder="1" applyAlignment="1" applyProtection="1">
      <alignment horizontal="center"/>
      <protection hidden="1"/>
    </xf>
    <xf numFmtId="1" fontId="9" fillId="2" borderId="2" xfId="0" quotePrefix="1" applyNumberFormat="1" applyFont="1" applyFill="1" applyBorder="1" applyAlignment="1" applyProtection="1">
      <alignment horizontal="center"/>
      <protection hidden="1"/>
    </xf>
    <xf numFmtId="0" fontId="9" fillId="0" borderId="0" xfId="6" applyFont="1" applyAlignment="1">
      <alignment readingOrder="2"/>
    </xf>
    <xf numFmtId="0" fontId="9" fillId="0" borderId="31" xfId="6" applyFont="1" applyBorder="1"/>
    <xf numFmtId="0" fontId="9" fillId="0" borderId="49" xfId="6" applyFont="1" applyBorder="1"/>
    <xf numFmtId="0" fontId="9" fillId="3" borderId="0" xfId="6" applyFont="1" applyFill="1"/>
    <xf numFmtId="0" fontId="9" fillId="0" borderId="14" xfId="6" applyFont="1" applyBorder="1" applyAlignment="1">
      <alignment horizontal="left" wrapText="1"/>
    </xf>
    <xf numFmtId="0" fontId="9" fillId="0" borderId="50" xfId="6" applyFont="1" applyBorder="1" applyAlignment="1">
      <alignment horizontal="left" wrapText="1"/>
    </xf>
    <xf numFmtId="1" fontId="9" fillId="2" borderId="0" xfId="6" applyNumberFormat="1" applyFont="1" applyFill="1" applyProtection="1">
      <protection hidden="1"/>
    </xf>
    <xf numFmtId="1" fontId="9" fillId="2" borderId="0" xfId="6" quotePrefix="1" applyNumberFormat="1" applyFont="1" applyFill="1" applyAlignment="1" applyProtection="1">
      <alignment horizontal="center"/>
      <protection hidden="1"/>
    </xf>
    <xf numFmtId="0" fontId="9" fillId="0" borderId="0" xfId="6" quotePrefix="1" applyFont="1" applyAlignment="1">
      <alignment horizontal="center"/>
    </xf>
    <xf numFmtId="0" fontId="9" fillId="0" borderId="31" xfId="6" applyFont="1" applyBorder="1" applyAlignment="1">
      <alignment horizontal="left"/>
    </xf>
    <xf numFmtId="0" fontId="9" fillId="0" borderId="6" xfId="6" applyFont="1" applyBorder="1"/>
    <xf numFmtId="0" fontId="9" fillId="0" borderId="7" xfId="6" applyFont="1" applyBorder="1"/>
    <xf numFmtId="0" fontId="9" fillId="0" borderId="52" xfId="6" applyFont="1" applyBorder="1"/>
    <xf numFmtId="0" fontId="9" fillId="0" borderId="54" xfId="6" applyFont="1" applyBorder="1"/>
    <xf numFmtId="0" fontId="9" fillId="0" borderId="4" xfId="6" applyFont="1" applyBorder="1"/>
    <xf numFmtId="0" fontId="9" fillId="0" borderId="16" xfId="6" applyFont="1" applyBorder="1"/>
    <xf numFmtId="0" fontId="9" fillId="0" borderId="0" xfId="6" applyFont="1" applyAlignment="1">
      <alignment horizontal="left"/>
    </xf>
    <xf numFmtId="0" fontId="9" fillId="0" borderId="8" xfId="6" applyFont="1" applyBorder="1"/>
    <xf numFmtId="0" fontId="9" fillId="0" borderId="36" xfId="6" applyFont="1" applyBorder="1"/>
    <xf numFmtId="0" fontId="9" fillId="0" borderId="15" xfId="6" applyFont="1" applyBorder="1"/>
    <xf numFmtId="0" fontId="9" fillId="0" borderId="0" xfId="6" applyFont="1" applyAlignment="1">
      <alignment vertical="top" wrapText="1"/>
    </xf>
    <xf numFmtId="0" fontId="9" fillId="0" borderId="31" xfId="0" applyFont="1" applyBorder="1"/>
    <xf numFmtId="0" fontId="9" fillId="0" borderId="1" xfId="0" applyFont="1" applyBorder="1" applyAlignment="1">
      <alignment horizontal="center"/>
    </xf>
    <xf numFmtId="0" fontId="9" fillId="0" borderId="59" xfId="0" applyFont="1" applyBorder="1" applyAlignment="1">
      <alignment horizontal="left"/>
    </xf>
    <xf numFmtId="0" fontId="9" fillId="0" borderId="60" xfId="0" applyFont="1" applyBorder="1" applyAlignment="1">
      <alignment horizontal="left"/>
    </xf>
    <xf numFmtId="0" fontId="9" fillId="0" borderId="1" xfId="0" applyFont="1" applyBorder="1" applyAlignment="1">
      <alignment horizontal="right"/>
    </xf>
    <xf numFmtId="167" fontId="9" fillId="0" borderId="1" xfId="0" applyNumberFormat="1" applyFont="1" applyBorder="1" applyAlignment="1">
      <alignment horizontal="left"/>
    </xf>
    <xf numFmtId="9" fontId="12" fillId="4" borderId="3" xfId="7" applyFont="1" applyFill="1" applyBorder="1" applyAlignment="1" applyProtection="1">
      <alignment horizontal="center"/>
      <protection locked="0"/>
    </xf>
    <xf numFmtId="0" fontId="9" fillId="0" borderId="1" xfId="0" applyFont="1" applyBorder="1" applyAlignment="1">
      <alignment horizontal="left"/>
    </xf>
    <xf numFmtId="0" fontId="42" fillId="0" borderId="65" xfId="0" applyFont="1" applyBorder="1"/>
    <xf numFmtId="0" fontId="42" fillId="0" borderId="66" xfId="0" applyFont="1" applyBorder="1"/>
    <xf numFmtId="0" fontId="42" fillId="0" borderId="67" xfId="0" applyFont="1" applyBorder="1"/>
    <xf numFmtId="0" fontId="36" fillId="0" borderId="0" xfId="0" applyFont="1" applyAlignment="1">
      <alignment horizontal="left" vertical="top" wrapText="1"/>
    </xf>
    <xf numFmtId="0" fontId="92" fillId="0" borderId="0" xfId="0" applyFont="1" applyAlignment="1">
      <alignment horizontal="left"/>
    </xf>
    <xf numFmtId="0" fontId="9" fillId="0" borderId="62" xfId="0" applyFont="1" applyBorder="1" applyAlignment="1">
      <alignment horizontal="left"/>
    </xf>
    <xf numFmtId="0" fontId="9" fillId="0" borderId="59" xfId="0" applyFont="1" applyBorder="1" applyAlignment="1">
      <alignment horizontal="right"/>
    </xf>
    <xf numFmtId="0" fontId="9" fillId="0" borderId="59" xfId="0" applyFont="1" applyBorder="1" applyAlignment="1">
      <alignment horizontal="center"/>
    </xf>
    <xf numFmtId="0" fontId="9" fillId="0" borderId="61" xfId="0" applyFont="1" applyBorder="1" applyAlignment="1">
      <alignment horizontal="left"/>
    </xf>
    <xf numFmtId="0" fontId="9" fillId="0" borderId="63" xfId="0" applyFont="1" applyBorder="1" applyAlignment="1">
      <alignment horizontal="left"/>
    </xf>
    <xf numFmtId="0" fontId="9" fillId="0" borderId="76" xfId="0" applyFont="1" applyBorder="1" applyAlignment="1">
      <alignment horizontal="left"/>
    </xf>
    <xf numFmtId="0" fontId="0" fillId="0" borderId="60" xfId="0" quotePrefix="1" applyBorder="1" applyAlignment="1">
      <alignment horizontal="left"/>
    </xf>
    <xf numFmtId="166" fontId="0" fillId="0" borderId="2" xfId="0" applyNumberFormat="1" applyBorder="1" applyAlignment="1">
      <alignment horizontal="right"/>
    </xf>
    <xf numFmtId="166" fontId="9" fillId="0" borderId="89" xfId="0" applyNumberFormat="1" applyFont="1" applyBorder="1" applyAlignment="1">
      <alignment horizontal="right"/>
    </xf>
    <xf numFmtId="0" fontId="9" fillId="0" borderId="30" xfId="0" applyFont="1" applyBorder="1" applyAlignment="1">
      <alignment horizontal="left"/>
    </xf>
    <xf numFmtId="0" fontId="9" fillId="0" borderId="67" xfId="0" applyFont="1" applyBorder="1" applyAlignment="1">
      <alignment horizontal="center" vertical="center"/>
    </xf>
    <xf numFmtId="0" fontId="9" fillId="4" borderId="1" xfId="0" applyFont="1" applyFill="1" applyBorder="1" applyAlignment="1" applyProtection="1">
      <alignment horizontal="center"/>
      <protection locked="0"/>
    </xf>
    <xf numFmtId="0" fontId="44" fillId="0" borderId="0" xfId="0" applyFont="1" applyAlignment="1">
      <alignment horizontal="right" wrapText="1"/>
    </xf>
    <xf numFmtId="0" fontId="67" fillId="0" borderId="0" xfId="4" applyFont="1" applyAlignment="1">
      <alignment horizontal="center"/>
    </xf>
    <xf numFmtId="0" fontId="79" fillId="0" borderId="0" xfId="4" applyAlignment="1">
      <alignment horizontal="center"/>
    </xf>
    <xf numFmtId="0" fontId="67" fillId="0" borderId="6" xfId="4" applyFont="1" applyBorder="1" applyAlignment="1">
      <alignment horizontal="center"/>
    </xf>
    <xf numFmtId="3" fontId="9" fillId="2" borderId="0" xfId="0" applyNumberFormat="1" applyFont="1" applyFill="1" applyAlignment="1" applyProtection="1">
      <alignment horizontal="left" vertical="center" wrapText="1"/>
      <protection hidden="1"/>
    </xf>
    <xf numFmtId="0" fontId="9" fillId="2" borderId="0" xfId="0" applyFont="1" applyFill="1" applyAlignment="1" applyProtection="1">
      <alignment horizontal="right" wrapText="1"/>
      <protection hidden="1"/>
    </xf>
    <xf numFmtId="0" fontId="0" fillId="2" borderId="0" xfId="0" applyFill="1" applyAlignment="1" applyProtection="1">
      <alignment horizontal="left" vertical="top" wrapText="1"/>
      <protection hidden="1"/>
    </xf>
    <xf numFmtId="0" fontId="0" fillId="2" borderId="0" xfId="0" applyFill="1" applyAlignment="1" applyProtection="1">
      <alignment horizontal="left"/>
      <protection hidden="1"/>
    </xf>
    <xf numFmtId="0" fontId="9" fillId="2" borderId="0" xfId="0" applyFont="1" applyFill="1" applyAlignment="1" applyProtection="1">
      <alignment horizontal="left" wrapText="1"/>
      <protection hidden="1"/>
    </xf>
    <xf numFmtId="3" fontId="126" fillId="4" borderId="12" xfId="0" applyNumberFormat="1" applyFont="1" applyFill="1" applyBorder="1" applyAlignment="1" applyProtection="1">
      <alignment horizontal="center" vertical="center" wrapText="1"/>
      <protection locked="0"/>
    </xf>
    <xf numFmtId="3" fontId="126" fillId="4" borderId="59" xfId="0" applyNumberFormat="1" applyFont="1" applyFill="1" applyBorder="1" applyAlignment="1" applyProtection="1">
      <alignment horizontal="center" vertical="center" wrapText="1"/>
      <protection locked="0"/>
    </xf>
    <xf numFmtId="3" fontId="126" fillId="4" borderId="3" xfId="0" applyNumberFormat="1" applyFont="1" applyFill="1" applyBorder="1" applyAlignment="1" applyProtection="1">
      <alignment horizontal="center" vertical="center" wrapText="1"/>
      <protection locked="0"/>
    </xf>
    <xf numFmtId="3" fontId="126" fillId="4" borderId="10" xfId="0" applyNumberFormat="1" applyFont="1" applyFill="1" applyBorder="1" applyAlignment="1" applyProtection="1">
      <alignment horizontal="center" vertical="center" wrapText="1"/>
      <protection locked="0"/>
    </xf>
    <xf numFmtId="0" fontId="9" fillId="2" borderId="0" xfId="0" applyFont="1" applyFill="1" applyAlignment="1" applyProtection="1">
      <alignment horizontal="right"/>
      <protection hidden="1"/>
    </xf>
    <xf numFmtId="0" fontId="42" fillId="2" borderId="0" xfId="0" applyFont="1" applyFill="1" applyAlignment="1">
      <alignment horizontal="left" wrapText="1"/>
    </xf>
    <xf numFmtId="0" fontId="0" fillId="2" borderId="2" xfId="0" applyFill="1" applyBorder="1" applyAlignment="1" applyProtection="1">
      <alignment horizontal="left" vertical="top" wrapText="1"/>
      <protection hidden="1"/>
    </xf>
    <xf numFmtId="0" fontId="93" fillId="0" borderId="0" xfId="0" applyFont="1" applyAlignment="1">
      <alignment horizontal="left" vertical="top" wrapText="1"/>
    </xf>
    <xf numFmtId="3" fontId="0" fillId="0" borderId="0" xfId="0" applyNumberFormat="1" applyAlignment="1">
      <alignment horizontal="center"/>
    </xf>
    <xf numFmtId="0" fontId="36" fillId="0" borderId="0" xfId="0" applyFont="1" applyAlignment="1">
      <alignment horizontal="left" wrapText="1"/>
    </xf>
    <xf numFmtId="0" fontId="0" fillId="0" borderId="26" xfId="0" applyBorder="1" applyAlignment="1" applyProtection="1">
      <alignment wrapText="1"/>
      <protection locked="0"/>
    </xf>
    <xf numFmtId="0" fontId="0" fillId="0" borderId="27" xfId="0" applyBorder="1" applyAlignment="1" applyProtection="1">
      <alignment wrapText="1"/>
      <protection locked="0"/>
    </xf>
    <xf numFmtId="0" fontId="0" fillId="0" borderId="0" xfId="0" applyAlignment="1" applyProtection="1">
      <alignment wrapText="1"/>
      <protection locked="0"/>
    </xf>
    <xf numFmtId="0" fontId="0" fillId="0" borderId="17" xfId="0" applyBorder="1" applyAlignment="1" applyProtection="1">
      <alignment wrapText="1"/>
      <protection locked="0"/>
    </xf>
    <xf numFmtId="0" fontId="0" fillId="0" borderId="2" xfId="0" applyBorder="1" applyAlignment="1" applyProtection="1">
      <alignment wrapText="1"/>
      <protection locked="0"/>
    </xf>
    <xf numFmtId="0" fontId="0" fillId="0" borderId="29" xfId="0" applyBorder="1" applyAlignment="1" applyProtection="1">
      <alignment wrapText="1"/>
      <protection locked="0"/>
    </xf>
    <xf numFmtId="1" fontId="0" fillId="0" borderId="2" xfId="0" applyNumberFormat="1" applyBorder="1" applyAlignment="1">
      <alignment horizontal="center"/>
    </xf>
    <xf numFmtId="2" fontId="83" fillId="0" borderId="0" xfId="0" applyNumberFormat="1" applyFont="1" applyAlignment="1">
      <alignment horizontal="left" vertical="center" wrapText="1"/>
    </xf>
    <xf numFmtId="0" fontId="36" fillId="0" borderId="0" xfId="0" applyFont="1" applyAlignment="1">
      <alignment horizontal="center" wrapText="1"/>
    </xf>
    <xf numFmtId="166" fontId="36" fillId="0" borderId="0" xfId="0" applyNumberFormat="1" applyFont="1" applyAlignment="1">
      <alignment wrapText="1"/>
    </xf>
    <xf numFmtId="0" fontId="11" fillId="2" borderId="0" xfId="0" applyFont="1" applyFill="1" applyAlignment="1" applyProtection="1">
      <alignment horizontal="right" wrapText="1"/>
      <protection hidden="1"/>
    </xf>
    <xf numFmtId="0" fontId="36" fillId="2" borderId="0" xfId="0" applyFont="1" applyFill="1" applyAlignment="1" applyProtection="1">
      <alignment wrapText="1"/>
      <protection hidden="1"/>
    </xf>
    <xf numFmtId="0" fontId="0" fillId="2" borderId="0" xfId="0" applyFill="1" applyAlignment="1" applyProtection="1">
      <alignment horizontal="left" wrapText="1"/>
      <protection hidden="1"/>
    </xf>
    <xf numFmtId="0" fontId="30" fillId="2" borderId="0" xfId="0" applyFont="1" applyFill="1" applyAlignment="1" applyProtection="1">
      <alignment horizontal="right" wrapText="1"/>
      <protection hidden="1"/>
    </xf>
    <xf numFmtId="0" fontId="9" fillId="0" borderId="0" xfId="6" applyFont="1" applyAlignment="1">
      <alignment horizontal="left" vertical="top" wrapText="1"/>
    </xf>
    <xf numFmtId="0" fontId="46" fillId="0" borderId="0" xfId="6" applyFont="1" applyAlignment="1">
      <alignment horizontal="left"/>
    </xf>
    <xf numFmtId="0" fontId="12" fillId="0" borderId="0" xfId="6" applyFont="1" applyAlignment="1">
      <alignment horizontal="left"/>
    </xf>
    <xf numFmtId="0" fontId="11" fillId="0" borderId="0" xfId="6" applyFont="1" applyAlignment="1">
      <alignment horizontal="center"/>
    </xf>
    <xf numFmtId="0" fontId="23" fillId="0" borderId="0" xfId="6" applyFont="1" applyAlignment="1">
      <alignment horizontal="left"/>
    </xf>
    <xf numFmtId="0" fontId="9" fillId="0" borderId="0" xfId="6" applyFont="1" applyAlignment="1">
      <alignment horizontal="left" wrapText="1"/>
    </xf>
    <xf numFmtId="0" fontId="12" fillId="0" borderId="52" xfId="6" applyFont="1" applyBorder="1" applyAlignment="1">
      <alignment horizontal="left"/>
    </xf>
    <xf numFmtId="0" fontId="12" fillId="0" borderId="6" xfId="6" applyFont="1" applyBorder="1" applyAlignment="1">
      <alignment horizontal="left"/>
    </xf>
    <xf numFmtId="0" fontId="46" fillId="0" borderId="0" xfId="0" applyFont="1" applyAlignment="1">
      <alignment horizontal="left"/>
    </xf>
    <xf numFmtId="10" fontId="46" fillId="0" borderId="0" xfId="0" applyNumberFormat="1" applyFont="1" applyAlignment="1">
      <alignment horizontal="left"/>
    </xf>
    <xf numFmtId="2" fontId="46" fillId="0" borderId="0" xfId="0" applyNumberFormat="1" applyFont="1" applyAlignment="1">
      <alignment horizontal="left"/>
    </xf>
    <xf numFmtId="1" fontId="114" fillId="0" borderId="13" xfId="0" applyNumberFormat="1" applyFont="1" applyBorder="1" applyAlignment="1">
      <alignment horizontal="left" vertical="top" wrapText="1"/>
    </xf>
    <xf numFmtId="0" fontId="37" fillId="0" borderId="80" xfId="0" applyFont="1" applyBorder="1" applyAlignment="1">
      <alignment horizontal="left"/>
    </xf>
    <xf numFmtId="0" fontId="37" fillId="0" borderId="1" xfId="0" applyFont="1" applyBorder="1" applyAlignment="1">
      <alignment horizontal="left"/>
    </xf>
    <xf numFmtId="0" fontId="37" fillId="0" borderId="81" xfId="0" applyFont="1" applyBorder="1" applyAlignment="1">
      <alignment horizontal="left"/>
    </xf>
    <xf numFmtId="1" fontId="114" fillId="0" borderId="0" xfId="0" applyNumberFormat="1" applyFont="1" applyAlignment="1">
      <alignment horizontal="left" vertical="top" wrapText="1"/>
    </xf>
    <xf numFmtId="1" fontId="12" fillId="12" borderId="3" xfId="0" applyNumberFormat="1" applyFont="1" applyFill="1" applyBorder="1" applyAlignment="1">
      <alignment horizontal="center"/>
    </xf>
    <xf numFmtId="0" fontId="48" fillId="2" borderId="0" xfId="0" applyFont="1" applyFill="1" applyAlignment="1" applyProtection="1">
      <alignment horizontal="left"/>
      <protection hidden="1"/>
    </xf>
    <xf numFmtId="0" fontId="12" fillId="2" borderId="0" xfId="0" applyFont="1" applyFill="1" applyAlignment="1" applyProtection="1">
      <alignment horizontal="left"/>
      <protection hidden="1"/>
    </xf>
    <xf numFmtId="0" fontId="12" fillId="2" borderId="0" xfId="0" quotePrefix="1" applyFont="1" applyFill="1" applyAlignment="1" applyProtection="1">
      <alignment horizontal="left"/>
      <protection hidden="1"/>
    </xf>
    <xf numFmtId="2" fontId="9" fillId="2" borderId="0" xfId="0" applyNumberFormat="1" applyFont="1" applyFill="1" applyAlignment="1" applyProtection="1">
      <alignment horizontal="left"/>
      <protection hidden="1"/>
    </xf>
    <xf numFmtId="0" fontId="9" fillId="0" borderId="65" xfId="0" applyFont="1" applyBorder="1" applyAlignment="1" applyProtection="1">
      <alignment horizontal="center" vertical="center"/>
      <protection locked="0"/>
    </xf>
    <xf numFmtId="0" fontId="9" fillId="0" borderId="66" xfId="0" applyFont="1" applyBorder="1" applyAlignment="1" applyProtection="1">
      <alignment horizontal="center" vertical="center"/>
      <protection locked="0"/>
    </xf>
    <xf numFmtId="0" fontId="9" fillId="0" borderId="67" xfId="0" applyFont="1" applyBorder="1" applyAlignment="1" applyProtection="1">
      <alignment horizontal="center" vertical="center"/>
      <protection locked="0"/>
    </xf>
    <xf numFmtId="0" fontId="9" fillId="0" borderId="72" xfId="0" applyFont="1" applyBorder="1" applyAlignment="1">
      <alignment horizontal="left" vertical="center"/>
    </xf>
    <xf numFmtId="0" fontId="0" fillId="0" borderId="3" xfId="0" applyBorder="1" applyAlignment="1">
      <alignment horizontal="left" vertical="center"/>
    </xf>
    <xf numFmtId="1" fontId="9" fillId="0" borderId="3" xfId="0" applyNumberFormat="1" applyFont="1" applyBorder="1" applyAlignment="1">
      <alignment horizontal="left" vertical="center"/>
    </xf>
    <xf numFmtId="1" fontId="0" fillId="0" borderId="3" xfId="0" applyNumberFormat="1" applyBorder="1" applyAlignment="1">
      <alignment horizontal="left" vertical="center"/>
    </xf>
    <xf numFmtId="1" fontId="0" fillId="0" borderId="33" xfId="0" applyNumberFormat="1" applyBorder="1" applyAlignment="1">
      <alignment horizontal="left" vertical="center"/>
    </xf>
    <xf numFmtId="167" fontId="9" fillId="0" borderId="72" xfId="0" applyNumberFormat="1" applyFont="1" applyBorder="1" applyAlignment="1">
      <alignment horizontal="right"/>
    </xf>
    <xf numFmtId="167" fontId="9" fillId="0" borderId="3" xfId="0" applyNumberFormat="1" applyFont="1" applyBorder="1" applyAlignment="1">
      <alignment horizontal="right"/>
    </xf>
    <xf numFmtId="2" fontId="12" fillId="4" borderId="3" xfId="0" applyNumberFormat="1" applyFont="1" applyFill="1" applyBorder="1" applyAlignment="1" applyProtection="1">
      <alignment horizontal="center"/>
      <protection locked="0"/>
    </xf>
    <xf numFmtId="0" fontId="9" fillId="0" borderId="1" xfId="0" applyFont="1" applyBorder="1" applyAlignment="1">
      <alignment horizontal="right"/>
    </xf>
    <xf numFmtId="0" fontId="0" fillId="0" borderId="1" xfId="0" applyBorder="1" applyAlignment="1">
      <alignment horizontal="right"/>
    </xf>
    <xf numFmtId="167" fontId="9" fillId="0" borderId="80" xfId="0" applyNumberFormat="1" applyFont="1" applyBorder="1" applyAlignment="1">
      <alignment horizontal="right"/>
    </xf>
    <xf numFmtId="167" fontId="9" fillId="0" borderId="1" xfId="0" applyNumberFormat="1" applyFont="1" applyBorder="1" applyAlignment="1">
      <alignment horizontal="right"/>
    </xf>
    <xf numFmtId="167" fontId="9" fillId="0" borderId="60" xfId="0" applyNumberFormat="1" applyFont="1" applyBorder="1" applyAlignment="1">
      <alignment horizontal="right"/>
    </xf>
    <xf numFmtId="0" fontId="42" fillId="0" borderId="78" xfId="0" applyFont="1" applyBorder="1" applyAlignment="1">
      <alignment horizontal="center" vertical="center"/>
    </xf>
    <xf numFmtId="0" fontId="42" fillId="0" borderId="14" xfId="0" applyFont="1" applyBorder="1" applyAlignment="1">
      <alignment horizontal="center" vertical="center"/>
    </xf>
    <xf numFmtId="0" fontId="42" fillId="0" borderId="50" xfId="0" applyFont="1" applyBorder="1" applyAlignment="1">
      <alignment horizontal="center" vertical="center"/>
    </xf>
    <xf numFmtId="0" fontId="42" fillId="0" borderId="9" xfId="0" applyFont="1" applyBorder="1" applyAlignment="1">
      <alignment horizontal="center" vertical="center"/>
    </xf>
    <xf numFmtId="0" fontId="42" fillId="0" borderId="13" xfId="0" applyFont="1" applyBorder="1" applyAlignment="1">
      <alignment horizontal="center" vertical="center"/>
    </xf>
    <xf numFmtId="0" fontId="42" fillId="0" borderId="92" xfId="0" applyFont="1" applyBorder="1" applyAlignment="1">
      <alignment horizontal="center" vertical="center"/>
    </xf>
    <xf numFmtId="0" fontId="9" fillId="0" borderId="78" xfId="0" applyFont="1" applyBorder="1" applyAlignment="1">
      <alignment horizontal="center" vertical="center" wrapText="1"/>
    </xf>
    <xf numFmtId="0" fontId="9" fillId="0" borderId="50" xfId="0" applyFont="1" applyBorder="1" applyAlignment="1">
      <alignment horizontal="center" vertical="center" wrapText="1"/>
    </xf>
    <xf numFmtId="0" fontId="9" fillId="0" borderId="9" xfId="0" applyFont="1" applyBorder="1" applyAlignment="1">
      <alignment horizontal="center" vertical="center" wrapText="1"/>
    </xf>
    <xf numFmtId="0" fontId="9" fillId="0" borderId="92" xfId="0" applyFont="1" applyBorder="1" applyAlignment="1">
      <alignment horizontal="center" vertical="center" wrapText="1"/>
    </xf>
    <xf numFmtId="0" fontId="9" fillId="0" borderId="78" xfId="0" applyFont="1" applyBorder="1" applyAlignment="1">
      <alignment horizontal="center" vertical="center"/>
    </xf>
    <xf numFmtId="0" fontId="9" fillId="0" borderId="50" xfId="0" applyFont="1" applyBorder="1" applyAlignment="1">
      <alignment horizontal="center" vertical="center"/>
    </xf>
    <xf numFmtId="0" fontId="9" fillId="0" borderId="9" xfId="0" applyFont="1" applyBorder="1" applyAlignment="1">
      <alignment horizontal="center" vertical="center"/>
    </xf>
    <xf numFmtId="0" fontId="9" fillId="0" borderId="92" xfId="0" applyFont="1" applyBorder="1" applyAlignment="1">
      <alignment horizontal="center" vertical="center"/>
    </xf>
    <xf numFmtId="0" fontId="9" fillId="0" borderId="10" xfId="0" applyFont="1" applyBorder="1" applyAlignment="1">
      <alignment horizontal="left"/>
    </xf>
    <xf numFmtId="0" fontId="9" fillId="0" borderId="74" xfId="0" applyFont="1" applyBorder="1" applyAlignment="1">
      <alignment horizontal="left"/>
    </xf>
    <xf numFmtId="0" fontId="9" fillId="0" borderId="59" xfId="0" applyFont="1" applyBorder="1" applyAlignment="1">
      <alignment horizontal="left"/>
    </xf>
    <xf numFmtId="0" fontId="9" fillId="0" borderId="60" xfId="0" applyFont="1" applyBorder="1" applyAlignment="1">
      <alignment horizontal="left"/>
    </xf>
    <xf numFmtId="0" fontId="9" fillId="0" borderId="3" xfId="0" applyFont="1" applyBorder="1" applyAlignment="1">
      <alignment horizontal="left"/>
    </xf>
    <xf numFmtId="0" fontId="9" fillId="0" borderId="33" xfId="0" applyFont="1" applyBorder="1" applyAlignment="1">
      <alignment horizontal="left"/>
    </xf>
    <xf numFmtId="167" fontId="12" fillId="4" borderId="3" xfId="0" applyNumberFormat="1" applyFont="1" applyFill="1" applyBorder="1" applyAlignment="1" applyProtection="1">
      <alignment horizontal="center"/>
      <protection locked="0"/>
    </xf>
    <xf numFmtId="0" fontId="9" fillId="0" borderId="1" xfId="0" applyFont="1" applyBorder="1" applyAlignment="1">
      <alignment horizontal="center"/>
    </xf>
    <xf numFmtId="0" fontId="9" fillId="0" borderId="60" xfId="0" applyFont="1" applyBorder="1" applyAlignment="1">
      <alignment horizontal="center"/>
    </xf>
    <xf numFmtId="0" fontId="9" fillId="0" borderId="1" xfId="0" applyFont="1" applyBorder="1" applyAlignment="1">
      <alignment horizontal="left"/>
    </xf>
    <xf numFmtId="2" fontId="12" fillId="0" borderId="3" xfId="0" applyNumberFormat="1" applyFont="1" applyBorder="1" applyAlignment="1" applyProtection="1">
      <alignment horizontal="center"/>
      <protection locked="0"/>
    </xf>
    <xf numFmtId="166" fontId="9" fillId="0" borderId="72" xfId="0" applyNumberFormat="1" applyFont="1" applyBorder="1" applyAlignment="1">
      <alignment horizontal="right"/>
    </xf>
    <xf numFmtId="166" fontId="9" fillId="0" borderId="3" xfId="0" applyNumberFormat="1" applyFont="1" applyBorder="1" applyAlignment="1">
      <alignment horizontal="right"/>
    </xf>
    <xf numFmtId="167" fontId="9" fillId="0" borderId="75" xfId="0" applyNumberFormat="1" applyFont="1" applyBorder="1" applyAlignment="1">
      <alignment horizontal="right"/>
    </xf>
    <xf numFmtId="167" fontId="9" fillId="0" borderId="10" xfId="0" applyNumberFormat="1" applyFont="1" applyBorder="1" applyAlignment="1">
      <alignment horizontal="right"/>
    </xf>
    <xf numFmtId="1" fontId="12" fillId="4" borderId="10" xfId="0" applyNumberFormat="1" applyFont="1" applyFill="1" applyBorder="1" applyAlignment="1" applyProtection="1">
      <alignment horizontal="center"/>
      <protection locked="0"/>
    </xf>
    <xf numFmtId="167" fontId="9" fillId="0" borderId="1" xfId="0" applyNumberFormat="1" applyFont="1" applyBorder="1" applyAlignment="1">
      <alignment horizontal="left"/>
    </xf>
    <xf numFmtId="167" fontId="9" fillId="0" borderId="60" xfId="0" applyNumberFormat="1" applyFont="1" applyBorder="1" applyAlignment="1">
      <alignment horizontal="left"/>
    </xf>
    <xf numFmtId="0" fontId="0" fillId="0" borderId="59" xfId="0" applyBorder="1" applyAlignment="1">
      <alignment horizontal="center"/>
    </xf>
    <xf numFmtId="0" fontId="0" fillId="0" borderId="60" xfId="0" applyBorder="1" applyAlignment="1">
      <alignment horizontal="center"/>
    </xf>
    <xf numFmtId="167" fontId="126" fillId="4" borderId="3" xfId="0" applyNumberFormat="1" applyFont="1" applyFill="1" applyBorder="1" applyAlignment="1" applyProtection="1">
      <alignment horizontal="center"/>
      <protection locked="0"/>
    </xf>
    <xf numFmtId="0" fontId="9" fillId="0" borderId="10" xfId="0" quotePrefix="1" applyFont="1" applyBorder="1" applyAlignment="1">
      <alignment horizontal="left"/>
    </xf>
    <xf numFmtId="167" fontId="9" fillId="0" borderId="76" xfId="0" applyNumberFormat="1" applyFont="1" applyBorder="1" applyAlignment="1">
      <alignment horizontal="left"/>
    </xf>
    <xf numFmtId="167" fontId="9" fillId="0" borderId="77" xfId="0" applyNumberFormat="1" applyFont="1" applyBorder="1" applyAlignment="1">
      <alignment horizontal="left"/>
    </xf>
    <xf numFmtId="166" fontId="12" fillId="0" borderId="3" xfId="0" applyNumberFormat="1" applyFont="1" applyBorder="1" applyAlignment="1">
      <alignment horizontal="center"/>
    </xf>
    <xf numFmtId="0" fontId="9" fillId="0" borderId="62" xfId="0" applyFont="1" applyBorder="1" applyAlignment="1">
      <alignment horizontal="left"/>
    </xf>
    <xf numFmtId="0" fontId="9" fillId="0" borderId="77" xfId="0" applyFont="1" applyBorder="1" applyAlignment="1">
      <alignment horizontal="left"/>
    </xf>
    <xf numFmtId="1" fontId="12" fillId="4" borderId="3" xfId="0" applyNumberFormat="1" applyFont="1" applyFill="1" applyBorder="1" applyAlignment="1" applyProtection="1">
      <alignment horizontal="center"/>
      <protection locked="0"/>
    </xf>
    <xf numFmtId="0" fontId="9" fillId="0" borderId="3" xfId="0" quotePrefix="1" applyFont="1" applyBorder="1" applyAlignment="1">
      <alignment horizontal="left"/>
    </xf>
    <xf numFmtId="166" fontId="12" fillId="4" borderId="3" xfId="0" applyNumberFormat="1" applyFont="1" applyFill="1" applyBorder="1" applyAlignment="1" applyProtection="1">
      <alignment horizontal="center"/>
      <protection locked="0"/>
    </xf>
    <xf numFmtId="2" fontId="12" fillId="4" borderId="59" xfId="0" applyNumberFormat="1" applyFont="1" applyFill="1" applyBorder="1" applyAlignment="1" applyProtection="1">
      <alignment horizontal="center"/>
      <protection locked="0"/>
    </xf>
    <xf numFmtId="2" fontId="12" fillId="4" borderId="60" xfId="0" applyNumberFormat="1" applyFont="1" applyFill="1" applyBorder="1" applyAlignment="1" applyProtection="1">
      <alignment horizontal="center"/>
      <protection locked="0"/>
    </xf>
    <xf numFmtId="0" fontId="42" fillId="0" borderId="73" xfId="0" applyFont="1" applyBorder="1"/>
    <xf numFmtId="0" fontId="42" fillId="0" borderId="82" xfId="0" applyFont="1" applyBorder="1"/>
    <xf numFmtId="167" fontId="12" fillId="4" borderId="10" xfId="0" applyNumberFormat="1" applyFont="1" applyFill="1" applyBorder="1" applyAlignment="1" applyProtection="1">
      <alignment horizontal="center"/>
      <protection locked="0"/>
    </xf>
    <xf numFmtId="166" fontId="9" fillId="0" borderId="75" xfId="0" applyNumberFormat="1" applyFont="1" applyBorder="1" applyAlignment="1">
      <alignment horizontal="right"/>
    </xf>
    <xf numFmtId="166" fontId="9" fillId="0" borderId="10" xfId="0" applyNumberFormat="1" applyFont="1" applyBorder="1" applyAlignment="1">
      <alignment horizontal="right"/>
    </xf>
    <xf numFmtId="0" fontId="9" fillId="0" borderId="3" xfId="0" applyFont="1" applyBorder="1" applyAlignment="1">
      <alignment horizontal="center"/>
    </xf>
    <xf numFmtId="0" fontId="9" fillId="0" borderId="33" xfId="0" applyFont="1" applyBorder="1" applyAlignment="1">
      <alignment horizontal="center"/>
    </xf>
    <xf numFmtId="0" fontId="13" fillId="0" borderId="78" xfId="0" applyFont="1" applyBorder="1"/>
    <xf numFmtId="0" fontId="13" fillId="0" borderId="14" xfId="0" applyFont="1" applyBorder="1"/>
    <xf numFmtId="0" fontId="13" fillId="0" borderId="50" xfId="0" applyFont="1" applyBorder="1"/>
    <xf numFmtId="0" fontId="9" fillId="0" borderId="76" xfId="0" applyFont="1" applyBorder="1" applyAlignment="1">
      <alignment horizontal="right"/>
    </xf>
    <xf numFmtId="0" fontId="0" fillId="0" borderId="76" xfId="0" applyBorder="1" applyAlignment="1">
      <alignment horizontal="right"/>
    </xf>
    <xf numFmtId="0" fontId="36" fillId="0" borderId="0" xfId="0" applyFont="1"/>
    <xf numFmtId="0" fontId="42" fillId="0" borderId="79" xfId="0" applyFont="1" applyBorder="1"/>
    <xf numFmtId="2" fontId="126" fillId="4" borderId="3" xfId="0" applyNumberFormat="1" applyFont="1" applyFill="1" applyBorder="1" applyAlignment="1" applyProtection="1">
      <alignment horizontal="center"/>
      <protection locked="0"/>
    </xf>
    <xf numFmtId="2" fontId="93" fillId="4" borderId="3" xfId="0" applyNumberFormat="1" applyFont="1" applyFill="1" applyBorder="1" applyAlignment="1" applyProtection="1">
      <alignment horizontal="center"/>
      <protection locked="0"/>
    </xf>
    <xf numFmtId="0" fontId="9" fillId="0" borderId="59" xfId="0" applyFont="1" applyBorder="1" applyAlignment="1">
      <alignment horizontal="right"/>
    </xf>
    <xf numFmtId="0" fontId="9" fillId="0" borderId="60" xfId="0" applyFont="1" applyBorder="1" applyAlignment="1">
      <alignment horizontal="right"/>
    </xf>
    <xf numFmtId="0" fontId="9" fillId="0" borderId="61" xfId="0" applyFont="1" applyBorder="1" applyAlignment="1">
      <alignment horizontal="left"/>
    </xf>
    <xf numFmtId="0" fontId="9" fillId="0" borderId="64" xfId="0" applyFont="1" applyBorder="1" applyAlignment="1">
      <alignment horizontal="left"/>
    </xf>
    <xf numFmtId="0" fontId="9" fillId="0" borderId="83" xfId="0" applyFont="1" applyBorder="1" applyAlignment="1">
      <alignment horizontal="left"/>
    </xf>
    <xf numFmtId="0" fontId="9" fillId="0" borderId="59" xfId="0" applyFont="1" applyBorder="1" applyAlignment="1">
      <alignment horizontal="center"/>
    </xf>
    <xf numFmtId="0" fontId="9" fillId="0" borderId="81" xfId="0" applyFont="1" applyBorder="1" applyAlignment="1">
      <alignment horizontal="center"/>
    </xf>
    <xf numFmtId="167" fontId="9" fillId="11" borderId="59" xfId="0" applyNumberFormat="1" applyFont="1" applyFill="1" applyBorder="1" applyAlignment="1" applyProtection="1">
      <alignment horizontal="left"/>
      <protection locked="0"/>
    </xf>
    <xf numFmtId="167" fontId="9" fillId="11" borderId="60" xfId="0" applyNumberFormat="1" applyFont="1" applyFill="1" applyBorder="1" applyAlignment="1" applyProtection="1">
      <alignment horizontal="left"/>
      <protection locked="0"/>
    </xf>
    <xf numFmtId="0" fontId="9" fillId="0" borderId="63" xfId="0" applyFont="1" applyBorder="1" applyAlignment="1">
      <alignment horizontal="left"/>
    </xf>
    <xf numFmtId="0" fontId="42" fillId="0" borderId="78" xfId="0" applyFont="1" applyBorder="1"/>
    <xf numFmtId="0" fontId="42" fillId="0" borderId="14" xfId="0" applyFont="1" applyBorder="1"/>
    <xf numFmtId="0" fontId="42" fillId="0" borderId="50" xfId="0" applyFont="1" applyBorder="1"/>
    <xf numFmtId="167" fontId="9" fillId="0" borderId="79" xfId="0" applyNumberFormat="1" applyFont="1" applyBorder="1" applyAlignment="1">
      <alignment horizontal="right"/>
    </xf>
    <xf numFmtId="167" fontId="9" fillId="0" borderId="73" xfId="0" applyNumberFormat="1" applyFont="1" applyBorder="1" applyAlignment="1">
      <alignment horizontal="right"/>
    </xf>
    <xf numFmtId="0" fontId="44" fillId="0" borderId="0" xfId="0" applyFont="1" applyAlignment="1">
      <alignment horizontal="right" wrapText="1"/>
    </xf>
    <xf numFmtId="0" fontId="9" fillId="0" borderId="0" xfId="0" applyFont="1" applyAlignment="1">
      <alignment horizontal="left" wrapText="1"/>
    </xf>
    <xf numFmtId="0" fontId="9" fillId="0" borderId="76" xfId="0" applyFont="1" applyBorder="1" applyAlignment="1">
      <alignment horizontal="left"/>
    </xf>
    <xf numFmtId="0" fontId="9" fillId="0" borderId="84" xfId="0" applyFont="1" applyBorder="1" applyAlignment="1">
      <alignment horizontal="left"/>
    </xf>
    <xf numFmtId="0" fontId="36" fillId="0" borderId="0" xfId="0" applyFont="1" applyAlignment="1">
      <alignment horizontal="left" wrapText="1"/>
    </xf>
    <xf numFmtId="0" fontId="9" fillId="0" borderId="81" xfId="0" applyFont="1" applyBorder="1" applyAlignment="1">
      <alignment horizontal="left"/>
    </xf>
    <xf numFmtId="168" fontId="12" fillId="4" borderId="73" xfId="0" applyNumberFormat="1" applyFont="1" applyFill="1" applyBorder="1" applyAlignment="1" applyProtection="1">
      <alignment horizontal="center"/>
      <protection locked="0"/>
    </xf>
    <xf numFmtId="0" fontId="9" fillId="0" borderId="73" xfId="0" applyFont="1" applyBorder="1" applyAlignment="1">
      <alignment horizontal="left"/>
    </xf>
    <xf numFmtId="0" fontId="9" fillId="0" borderId="82" xfId="0" applyFont="1" applyBorder="1" applyAlignment="1">
      <alignment horizontal="left"/>
    </xf>
    <xf numFmtId="0" fontId="13" fillId="0" borderId="65" xfId="0" applyFont="1" applyBorder="1"/>
    <xf numFmtId="0" fontId="13" fillId="0" borderId="66" xfId="0" applyFont="1" applyBorder="1"/>
    <xf numFmtId="0" fontId="13" fillId="0" borderId="67" xfId="0" applyFont="1" applyBorder="1"/>
    <xf numFmtId="0" fontId="42" fillId="0" borderId="66" xfId="0" applyFont="1" applyBorder="1" applyAlignment="1">
      <alignment horizontal="left"/>
    </xf>
    <xf numFmtId="0" fontId="42" fillId="0" borderId="67" xfId="0" applyFont="1" applyBorder="1" applyAlignment="1">
      <alignment horizontal="left"/>
    </xf>
    <xf numFmtId="166" fontId="12" fillId="0" borderId="59" xfId="0" applyNumberFormat="1" applyFont="1" applyBorder="1" applyAlignment="1" applyProtection="1">
      <alignment horizontal="center"/>
      <protection locked="0"/>
    </xf>
    <xf numFmtId="166" fontId="12" fillId="0" borderId="60" xfId="0" applyNumberFormat="1" applyFont="1" applyBorder="1" applyAlignment="1" applyProtection="1">
      <alignment horizontal="center"/>
      <protection locked="0"/>
    </xf>
    <xf numFmtId="2" fontId="12" fillId="0" borderId="62" xfId="0" applyNumberFormat="1" applyFont="1" applyBorder="1" applyAlignment="1" applyProtection="1">
      <alignment horizontal="center"/>
      <protection locked="0"/>
    </xf>
    <xf numFmtId="2" fontId="12" fillId="0" borderId="77" xfId="0" applyNumberFormat="1" applyFont="1" applyBorder="1" applyAlignment="1" applyProtection="1">
      <alignment horizontal="center"/>
      <protection locked="0"/>
    </xf>
    <xf numFmtId="166" fontId="9" fillId="0" borderId="80" xfId="0" applyNumberFormat="1" applyFont="1" applyBorder="1" applyAlignment="1">
      <alignment horizontal="right"/>
    </xf>
    <xf numFmtId="166" fontId="9" fillId="0" borderId="1" xfId="0" applyNumberFormat="1" applyFont="1" applyBorder="1" applyAlignment="1">
      <alignment horizontal="right"/>
    </xf>
    <xf numFmtId="166" fontId="9" fillId="0" borderId="60" xfId="0" applyNumberFormat="1" applyFont="1" applyBorder="1" applyAlignment="1">
      <alignment horizontal="right"/>
    </xf>
    <xf numFmtId="0" fontId="9" fillId="0" borderId="80" xfId="0" applyFont="1" applyBorder="1" applyAlignment="1">
      <alignment horizontal="right"/>
    </xf>
    <xf numFmtId="0" fontId="42" fillId="0" borderId="65" xfId="0" applyFont="1" applyBorder="1"/>
    <xf numFmtId="0" fontId="42" fillId="0" borderId="66" xfId="0" applyFont="1" applyBorder="1"/>
    <xf numFmtId="0" fontId="42" fillId="0" borderId="67" xfId="0" applyFont="1" applyBorder="1"/>
    <xf numFmtId="0" fontId="9" fillId="0" borderId="85" xfId="0" applyFont="1" applyBorder="1" applyAlignment="1">
      <alignment horizontal="right"/>
    </xf>
    <xf numFmtId="0" fontId="9" fillId="0" borderId="77" xfId="0" applyFont="1" applyBorder="1" applyAlignment="1">
      <alignment horizontal="right"/>
    </xf>
    <xf numFmtId="0" fontId="0" fillId="0" borderId="60" xfId="0" applyBorder="1" applyAlignment="1">
      <alignment horizontal="right"/>
    </xf>
    <xf numFmtId="2" fontId="12" fillId="0" borderId="59" xfId="0" applyNumberFormat="1" applyFont="1" applyBorder="1" applyAlignment="1" applyProtection="1">
      <alignment horizontal="center"/>
      <protection locked="0"/>
    </xf>
    <xf numFmtId="2" fontId="12" fillId="0" borderId="60" xfId="0" applyNumberFormat="1" applyFont="1" applyBorder="1" applyAlignment="1" applyProtection="1">
      <alignment horizontal="center"/>
      <protection locked="0"/>
    </xf>
    <xf numFmtId="166" fontId="12" fillId="0" borderId="3" xfId="0" applyNumberFormat="1" applyFont="1" applyBorder="1" applyAlignment="1" applyProtection="1">
      <alignment horizontal="center"/>
      <protection locked="0"/>
    </xf>
    <xf numFmtId="0" fontId="0" fillId="0" borderId="59" xfId="0" applyBorder="1" applyAlignment="1">
      <alignment horizontal="left"/>
    </xf>
    <xf numFmtId="0" fontId="0" fillId="0" borderId="60" xfId="0" applyBorder="1" applyAlignment="1">
      <alignment horizontal="left"/>
    </xf>
    <xf numFmtId="1" fontId="129" fillId="4" borderId="59" xfId="0" applyNumberFormat="1" applyFont="1" applyFill="1" applyBorder="1" applyAlignment="1" applyProtection="1">
      <alignment horizontal="center"/>
      <protection locked="0"/>
    </xf>
    <xf numFmtId="1" fontId="12" fillId="4" borderId="60" xfId="0" applyNumberFormat="1" applyFont="1" applyFill="1" applyBorder="1" applyAlignment="1" applyProtection="1">
      <alignment horizontal="center"/>
      <protection locked="0"/>
    </xf>
    <xf numFmtId="166" fontId="0" fillId="0" borderId="72" xfId="0" applyNumberFormat="1" applyBorder="1" applyAlignment="1">
      <alignment horizontal="right"/>
    </xf>
    <xf numFmtId="166" fontId="0" fillId="0" borderId="3" xfId="0" applyNumberFormat="1" applyBorder="1" applyAlignment="1">
      <alignment horizontal="right"/>
    </xf>
    <xf numFmtId="0" fontId="9" fillId="0" borderId="65" xfId="0" applyFont="1" applyBorder="1" applyAlignment="1">
      <alignment horizontal="center" vertical="center"/>
    </xf>
    <xf numFmtId="0" fontId="9" fillId="0" borderId="67" xfId="0" applyFont="1" applyBorder="1" applyAlignment="1">
      <alignment horizontal="center" vertical="center"/>
    </xf>
    <xf numFmtId="0" fontId="0" fillId="0" borderId="70" xfId="0" applyBorder="1" applyAlignment="1">
      <alignment horizontal="center" vertical="center" wrapText="1"/>
    </xf>
    <xf numFmtId="0" fontId="0" fillId="0" borderId="88" xfId="0" applyBorder="1" applyAlignment="1">
      <alignment horizontal="center" vertical="center" wrapText="1"/>
    </xf>
    <xf numFmtId="0" fontId="42" fillId="0" borderId="101" xfId="0" applyFont="1" applyBorder="1" applyAlignment="1">
      <alignment horizontal="center" vertical="center"/>
    </xf>
    <xf numFmtId="0" fontId="42" fillId="0" borderId="102" xfId="0" applyFont="1" applyBorder="1" applyAlignment="1">
      <alignment horizontal="center" vertical="center"/>
    </xf>
    <xf numFmtId="0" fontId="9" fillId="0" borderId="101" xfId="0" applyFont="1" applyBorder="1" applyAlignment="1">
      <alignment horizontal="center" vertical="center" wrapText="1"/>
    </xf>
    <xf numFmtId="0" fontId="9" fillId="0" borderId="102" xfId="0" applyFont="1" applyBorder="1" applyAlignment="1">
      <alignment horizontal="center" vertical="center" wrapText="1"/>
    </xf>
    <xf numFmtId="166" fontId="9" fillId="0" borderId="78" xfId="0" applyNumberFormat="1" applyFont="1" applyBorder="1" applyAlignment="1">
      <alignment horizontal="right"/>
    </xf>
    <xf numFmtId="166" fontId="9" fillId="0" borderId="14" xfId="0" applyNumberFormat="1" applyFont="1" applyBorder="1" applyAlignment="1">
      <alignment horizontal="right"/>
    </xf>
    <xf numFmtId="166" fontId="9" fillId="0" borderId="87" xfId="0" applyNumberFormat="1" applyFont="1" applyBorder="1" applyAlignment="1">
      <alignment horizontal="right"/>
    </xf>
    <xf numFmtId="9" fontId="9" fillId="4" borderId="59" xfId="7" applyFont="1" applyFill="1" applyBorder="1" applyAlignment="1" applyProtection="1">
      <alignment horizontal="center" vertical="center" wrapText="1"/>
      <protection locked="0"/>
    </xf>
    <xf numFmtId="9" fontId="9" fillId="4" borderId="60" xfId="7" applyFont="1" applyFill="1" applyBorder="1" applyAlignment="1" applyProtection="1">
      <alignment horizontal="center" vertical="center" wrapText="1"/>
      <protection locked="0"/>
    </xf>
    <xf numFmtId="0" fontId="9" fillId="0" borderId="14" xfId="0" applyFont="1" applyBorder="1" applyAlignment="1">
      <alignment horizontal="center" vertical="center"/>
    </xf>
    <xf numFmtId="0" fontId="9" fillId="0" borderId="13" xfId="0" applyFont="1" applyBorder="1" applyAlignment="1">
      <alignment horizontal="center" vertical="center"/>
    </xf>
    <xf numFmtId="0" fontId="9" fillId="0" borderId="70" xfId="0" applyFont="1" applyBorder="1" applyAlignment="1">
      <alignment horizontal="center" vertical="center"/>
    </xf>
    <xf numFmtId="0" fontId="9" fillId="0" borderId="66" xfId="0" applyFont="1" applyBorder="1" applyAlignment="1">
      <alignment horizontal="center" vertical="center"/>
    </xf>
    <xf numFmtId="0" fontId="9" fillId="0" borderId="88" xfId="0" applyFont="1" applyBorder="1" applyAlignment="1">
      <alignment horizontal="center" vertical="center"/>
    </xf>
    <xf numFmtId="9" fontId="9" fillId="4" borderId="20" xfId="7" applyFont="1" applyFill="1" applyBorder="1" applyAlignment="1" applyProtection="1">
      <alignment horizontal="center" vertical="center" wrapText="1"/>
      <protection locked="0"/>
    </xf>
    <xf numFmtId="0" fontId="0" fillId="0" borderId="59" xfId="0" quotePrefix="1" applyBorder="1" applyAlignment="1">
      <alignment horizontal="left"/>
    </xf>
    <xf numFmtId="0" fontId="0" fillId="0" borderId="60" xfId="0" quotePrefix="1" applyBorder="1" applyAlignment="1">
      <alignment horizontal="left"/>
    </xf>
    <xf numFmtId="2" fontId="9" fillId="0" borderId="59" xfId="0" applyNumberFormat="1" applyFont="1" applyBorder="1" applyAlignment="1">
      <alignment horizontal="center"/>
    </xf>
    <xf numFmtId="2" fontId="9" fillId="0" borderId="60" xfId="0" applyNumberFormat="1" applyFont="1" applyBorder="1" applyAlignment="1">
      <alignment horizontal="center"/>
    </xf>
    <xf numFmtId="1" fontId="9" fillId="0" borderId="3" xfId="0" applyNumberFormat="1" applyFont="1" applyBorder="1" applyAlignment="1">
      <alignment horizontal="left" vertical="center" wrapText="1"/>
    </xf>
    <xf numFmtId="1" fontId="0" fillId="0" borderId="3" xfId="0" applyNumberFormat="1" applyBorder="1" applyAlignment="1">
      <alignment horizontal="left" vertical="center" wrapText="1"/>
    </xf>
    <xf numFmtId="1" fontId="0" fillId="0" borderId="33" xfId="0" applyNumberFormat="1" applyBorder="1" applyAlignment="1">
      <alignment horizontal="left" vertical="center" wrapText="1"/>
    </xf>
    <xf numFmtId="166" fontId="0" fillId="0" borderId="89" xfId="0" applyNumberFormat="1" applyBorder="1" applyAlignment="1">
      <alignment horizontal="right"/>
    </xf>
    <xf numFmtId="166" fontId="0" fillId="0" borderId="2" xfId="0" applyNumberFormat="1" applyBorder="1" applyAlignment="1">
      <alignment horizontal="right"/>
    </xf>
    <xf numFmtId="166" fontId="0" fillId="0" borderId="29" xfId="0" applyNumberFormat="1" applyBorder="1" applyAlignment="1">
      <alignment horizontal="right"/>
    </xf>
    <xf numFmtId="0" fontId="9" fillId="0" borderId="72" xfId="0" applyFont="1" applyBorder="1" applyAlignment="1">
      <alignment horizontal="left"/>
    </xf>
    <xf numFmtId="0" fontId="0" fillId="0" borderId="3" xfId="0" applyBorder="1" applyAlignment="1">
      <alignment horizontal="left"/>
    </xf>
    <xf numFmtId="0" fontId="126" fillId="4" borderId="59" xfId="0" applyFont="1" applyFill="1" applyBorder="1" applyAlignment="1" applyProtection="1">
      <alignment horizontal="center"/>
      <protection locked="0"/>
    </xf>
    <xf numFmtId="0" fontId="9" fillId="4" borderId="1" xfId="0" applyFont="1" applyFill="1" applyBorder="1" applyAlignment="1" applyProtection="1">
      <alignment horizontal="center"/>
      <protection locked="0"/>
    </xf>
    <xf numFmtId="0" fontId="9" fillId="4" borderId="60" xfId="0" applyFont="1" applyFill="1" applyBorder="1" applyAlignment="1" applyProtection="1">
      <alignment horizontal="center"/>
      <protection locked="0"/>
    </xf>
    <xf numFmtId="0" fontId="11" fillId="0" borderId="0" xfId="0" applyFont="1" applyAlignment="1">
      <alignment horizontal="center"/>
    </xf>
    <xf numFmtId="168" fontId="126" fillId="4" borderId="61" xfId="0" applyNumberFormat="1" applyFont="1" applyFill="1" applyBorder="1" applyAlignment="1" applyProtection="1">
      <alignment horizontal="center"/>
      <protection locked="0"/>
    </xf>
    <xf numFmtId="168" fontId="12" fillId="4" borderId="63" xfId="0" applyNumberFormat="1" applyFont="1" applyFill="1" applyBorder="1" applyAlignment="1" applyProtection="1">
      <alignment horizontal="center"/>
      <protection locked="0"/>
    </xf>
    <xf numFmtId="0" fontId="9" fillId="0" borderId="21" xfId="0" applyFont="1" applyBorder="1" applyAlignment="1">
      <alignment horizontal="left"/>
    </xf>
    <xf numFmtId="0" fontId="9" fillId="0" borderId="87" xfId="0" applyFont="1" applyBorder="1" applyAlignment="1">
      <alignment horizontal="left"/>
    </xf>
    <xf numFmtId="1" fontId="0" fillId="0" borderId="10" xfId="0" applyNumberFormat="1" applyBorder="1" applyAlignment="1">
      <alignment vertical="center"/>
    </xf>
    <xf numFmtId="0" fontId="0" fillId="0" borderId="10" xfId="0" applyBorder="1" applyAlignment="1">
      <alignment vertical="center"/>
    </xf>
    <xf numFmtId="1" fontId="129" fillId="4" borderId="62" xfId="0" applyNumberFormat="1" applyFont="1" applyFill="1" applyBorder="1" applyAlignment="1" applyProtection="1">
      <alignment horizontal="center"/>
      <protection locked="0"/>
    </xf>
    <xf numFmtId="1" fontId="12" fillId="4" borderId="77" xfId="0" applyNumberFormat="1" applyFont="1" applyFill="1" applyBorder="1" applyAlignment="1" applyProtection="1">
      <alignment horizontal="center"/>
      <protection locked="0"/>
    </xf>
    <xf numFmtId="166" fontId="0" fillId="0" borderId="80" xfId="0" applyNumberFormat="1" applyBorder="1" applyAlignment="1">
      <alignment horizontal="right"/>
    </xf>
    <xf numFmtId="166" fontId="0" fillId="0" borderId="1" xfId="0" applyNumberFormat="1" applyBorder="1" applyAlignment="1">
      <alignment horizontal="right"/>
    </xf>
    <xf numFmtId="166" fontId="0" fillId="0" borderId="60" xfId="0" applyNumberFormat="1" applyBorder="1" applyAlignment="1">
      <alignment horizontal="right"/>
    </xf>
    <xf numFmtId="0" fontId="0" fillId="0" borderId="3" xfId="0" applyBorder="1" applyAlignment="1">
      <alignment horizontal="center" vertical="center" wrapText="1"/>
    </xf>
    <xf numFmtId="0" fontId="0" fillId="0" borderId="33" xfId="0" applyBorder="1" applyAlignment="1">
      <alignment horizontal="center" vertical="center" wrapText="1"/>
    </xf>
    <xf numFmtId="167" fontId="0" fillId="0" borderId="1" xfId="0" applyNumberFormat="1" applyBorder="1" applyAlignment="1">
      <alignment horizontal="right"/>
    </xf>
    <xf numFmtId="167" fontId="0" fillId="0" borderId="60" xfId="0" applyNumberFormat="1" applyBorder="1" applyAlignment="1">
      <alignment horizontal="right"/>
    </xf>
    <xf numFmtId="0" fontId="0" fillId="0" borderId="0" xfId="0"/>
    <xf numFmtId="0" fontId="0" fillId="0" borderId="80" xfId="0" applyBorder="1" applyAlignment="1">
      <alignment horizontal="right"/>
    </xf>
    <xf numFmtId="0" fontId="9" fillId="0" borderId="70" xfId="0" applyFont="1" applyBorder="1" applyAlignment="1">
      <alignment horizontal="center"/>
    </xf>
    <xf numFmtId="0" fontId="9" fillId="0" borderId="66" xfId="0" applyFont="1" applyBorder="1" applyAlignment="1">
      <alignment horizontal="center"/>
    </xf>
    <xf numFmtId="0" fontId="9" fillId="0" borderId="67" xfId="0" applyFont="1" applyBorder="1" applyAlignment="1">
      <alignment horizont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9" fillId="0" borderId="88" xfId="0" applyFont="1" applyBorder="1" applyAlignment="1">
      <alignment horizontal="center"/>
    </xf>
    <xf numFmtId="49" fontId="9" fillId="4" borderId="85" xfId="0" applyNumberFormat="1" applyFont="1" applyFill="1" applyBorder="1" applyAlignment="1" applyProtection="1">
      <alignment horizontal="right" vertical="center"/>
      <protection locked="0"/>
    </xf>
    <xf numFmtId="49" fontId="0" fillId="4" borderId="76" xfId="0" applyNumberFormat="1" applyFill="1" applyBorder="1" applyAlignment="1" applyProtection="1">
      <alignment horizontal="right" vertical="center"/>
      <protection locked="0"/>
    </xf>
    <xf numFmtId="49" fontId="0" fillId="4" borderId="77" xfId="0" applyNumberFormat="1" applyFill="1" applyBorder="1" applyAlignment="1" applyProtection="1">
      <alignment horizontal="right" vertical="center"/>
      <protection locked="0"/>
    </xf>
    <xf numFmtId="9" fontId="9" fillId="4" borderId="10" xfId="7" applyFont="1" applyFill="1" applyBorder="1" applyAlignment="1" applyProtection="1">
      <alignment horizontal="center" vertical="center" wrapText="1"/>
      <protection locked="0"/>
    </xf>
    <xf numFmtId="1" fontId="12" fillId="4" borderId="70" xfId="0" applyNumberFormat="1" applyFont="1" applyFill="1" applyBorder="1" applyAlignment="1" applyProtection="1">
      <alignment horizontal="center" vertical="center" wrapText="1"/>
      <protection locked="0"/>
    </xf>
    <xf numFmtId="1" fontId="12" fillId="4" borderId="66" xfId="0" applyNumberFormat="1" applyFont="1" applyFill="1" applyBorder="1" applyAlignment="1" applyProtection="1">
      <alignment horizontal="center" vertical="center" wrapText="1"/>
      <protection locked="0"/>
    </xf>
    <xf numFmtId="1" fontId="12" fillId="4" borderId="88" xfId="0" applyNumberFormat="1" applyFont="1" applyFill="1" applyBorder="1" applyAlignment="1" applyProtection="1">
      <alignment horizontal="center" vertical="center" wrapText="1"/>
      <protection locked="0"/>
    </xf>
    <xf numFmtId="0" fontId="92" fillId="0" borderId="100" xfId="0" applyFont="1" applyBorder="1" applyAlignment="1">
      <alignment horizontal="left" vertical="center"/>
    </xf>
    <xf numFmtId="0" fontId="92" fillId="0" borderId="13" xfId="0" applyFont="1" applyBorder="1" applyAlignment="1">
      <alignment horizontal="left" vertical="center"/>
    </xf>
    <xf numFmtId="0" fontId="92" fillId="0" borderId="92" xfId="0" applyFont="1" applyBorder="1" applyAlignment="1">
      <alignment horizontal="left" vertical="center"/>
    </xf>
    <xf numFmtId="49" fontId="9" fillId="4" borderId="65" xfId="0" applyNumberFormat="1" applyFont="1" applyFill="1" applyBorder="1" applyAlignment="1" applyProtection="1">
      <alignment horizontal="left" vertical="center" wrapText="1"/>
      <protection locked="0"/>
    </xf>
    <xf numFmtId="49" fontId="0" fillId="4" borderId="66" xfId="0" applyNumberFormat="1" applyFill="1" applyBorder="1" applyAlignment="1" applyProtection="1">
      <alignment horizontal="left" vertical="center" wrapText="1"/>
      <protection locked="0"/>
    </xf>
    <xf numFmtId="49" fontId="0" fillId="4" borderId="88" xfId="0" applyNumberFormat="1" applyFill="1" applyBorder="1" applyAlignment="1" applyProtection="1">
      <alignment horizontal="left" vertical="center" wrapText="1"/>
      <protection locked="0"/>
    </xf>
    <xf numFmtId="169" fontId="0" fillId="0" borderId="70" xfId="0" applyNumberFormat="1" applyBorder="1" applyAlignment="1">
      <alignment horizontal="center" vertical="center"/>
    </xf>
    <xf numFmtId="169" fontId="0" fillId="0" borderId="88" xfId="0" applyNumberFormat="1" applyBorder="1" applyAlignment="1">
      <alignment horizontal="center" vertical="center"/>
    </xf>
    <xf numFmtId="9" fontId="0" fillId="0" borderId="69" xfId="0" applyNumberFormat="1" applyBorder="1" applyAlignment="1">
      <alignment horizontal="center" vertical="center" wrapText="1"/>
    </xf>
    <xf numFmtId="0" fontId="0" fillId="0" borderId="69" xfId="0" applyBorder="1" applyAlignment="1">
      <alignment horizontal="center" vertical="center" wrapText="1"/>
    </xf>
    <xf numFmtId="9" fontId="9" fillId="4" borderId="69" xfId="7" applyFont="1" applyFill="1" applyBorder="1" applyAlignment="1" applyProtection="1">
      <alignment horizontal="center" vertical="center" wrapText="1"/>
      <protection locked="0"/>
    </xf>
    <xf numFmtId="167" fontId="9" fillId="0" borderId="11" xfId="0" applyNumberFormat="1" applyFont="1" applyBorder="1" applyAlignment="1">
      <alignment horizontal="right"/>
    </xf>
    <xf numFmtId="167" fontId="0" fillId="0" borderId="0" xfId="0" applyNumberFormat="1" applyAlignment="1">
      <alignment horizontal="right"/>
    </xf>
    <xf numFmtId="167" fontId="0" fillId="0" borderId="17" xfId="0" applyNumberFormat="1" applyBorder="1" applyAlignment="1">
      <alignment horizontal="right"/>
    </xf>
    <xf numFmtId="0" fontId="9" fillId="0" borderId="40" xfId="0" applyFont="1" applyBorder="1" applyAlignment="1">
      <alignment horizontal="left"/>
    </xf>
    <xf numFmtId="0" fontId="9" fillId="0" borderId="27" xfId="0" applyFont="1" applyBorder="1" applyAlignment="1">
      <alignment horizontal="left"/>
    </xf>
    <xf numFmtId="0" fontId="9" fillId="0" borderId="30" xfId="0" applyFont="1" applyBorder="1" applyAlignment="1">
      <alignment horizontal="left"/>
    </xf>
    <xf numFmtId="0" fontId="9" fillId="0" borderId="2" xfId="0" applyFont="1" applyBorder="1" applyAlignment="1">
      <alignment horizontal="left"/>
    </xf>
    <xf numFmtId="0" fontId="9" fillId="0" borderId="29" xfId="0" applyFont="1" applyBorder="1" applyAlignment="1">
      <alignment horizontal="left"/>
    </xf>
    <xf numFmtId="9" fontId="0" fillId="0" borderId="20" xfId="0" applyNumberFormat="1" applyBorder="1" applyAlignment="1">
      <alignment horizontal="center" vertical="center" wrapText="1"/>
    </xf>
    <xf numFmtId="9" fontId="0" fillId="0" borderId="10" xfId="7" applyFont="1" applyBorder="1" applyAlignment="1" applyProtection="1">
      <alignment horizontal="center" vertical="center" wrapText="1"/>
    </xf>
    <xf numFmtId="0" fontId="11" fillId="0" borderId="73" xfId="0" applyFont="1" applyBorder="1" applyAlignment="1">
      <alignment horizontal="left"/>
    </xf>
    <xf numFmtId="0" fontId="11" fillId="0" borderId="82" xfId="0" applyFont="1" applyBorder="1" applyAlignment="1">
      <alignment horizontal="left"/>
    </xf>
    <xf numFmtId="1" fontId="0" fillId="0" borderId="59" xfId="0" applyNumberFormat="1" applyBorder="1" applyAlignment="1">
      <alignment horizontal="left"/>
    </xf>
    <xf numFmtId="1" fontId="0" fillId="0" borderId="60" xfId="0" applyNumberFormat="1" applyBorder="1" applyAlignment="1">
      <alignment horizontal="left"/>
    </xf>
    <xf numFmtId="1" fontId="0" fillId="0" borderId="28" xfId="0" applyNumberFormat="1" applyBorder="1"/>
    <xf numFmtId="0" fontId="0" fillId="0" borderId="17" xfId="0" applyBorder="1"/>
    <xf numFmtId="1" fontId="9" fillId="4" borderId="10" xfId="0" applyNumberFormat="1" applyFont="1" applyFill="1" applyBorder="1" applyAlignment="1" applyProtection="1">
      <alignment horizontal="center" vertical="center"/>
      <protection locked="0"/>
    </xf>
    <xf numFmtId="1" fontId="0" fillId="4" borderId="10" xfId="0" applyNumberFormat="1" applyFill="1" applyBorder="1" applyAlignment="1" applyProtection="1">
      <alignment horizontal="center" vertical="center"/>
      <protection locked="0"/>
    </xf>
    <xf numFmtId="0" fontId="9" fillId="0" borderId="20" xfId="0" applyFont="1" applyBorder="1"/>
    <xf numFmtId="0" fontId="0" fillId="0" borderId="3" xfId="0" applyBorder="1" applyAlignment="1">
      <alignment horizontal="center"/>
    </xf>
    <xf numFmtId="1" fontId="12" fillId="4" borderId="59" xfId="0" applyNumberFormat="1" applyFont="1" applyFill="1" applyBorder="1" applyAlignment="1" applyProtection="1">
      <alignment horizontal="center"/>
      <protection locked="0"/>
    </xf>
    <xf numFmtId="9" fontId="0" fillId="0" borderId="3" xfId="0" applyNumberFormat="1" applyBorder="1" applyAlignment="1">
      <alignment horizontal="center" vertical="center" wrapText="1"/>
    </xf>
    <xf numFmtId="0" fontId="0" fillId="0" borderId="62" xfId="0" quotePrefix="1" applyBorder="1" applyAlignment="1">
      <alignment horizontal="left"/>
    </xf>
    <xf numFmtId="0" fontId="0" fillId="0" borderId="77" xfId="0" quotePrefix="1" applyBorder="1" applyAlignment="1">
      <alignment horizontal="left"/>
    </xf>
    <xf numFmtId="0" fontId="11" fillId="0" borderId="61" xfId="0" applyFont="1" applyBorder="1" applyAlignment="1">
      <alignment horizontal="left"/>
    </xf>
    <xf numFmtId="0" fontId="11" fillId="0" borderId="64" xfId="0" applyFont="1" applyBorder="1" applyAlignment="1">
      <alignment horizontal="left"/>
    </xf>
    <xf numFmtId="0" fontId="11" fillId="0" borderId="63" xfId="0" applyFont="1" applyBorder="1" applyAlignment="1">
      <alignment horizontal="left"/>
    </xf>
    <xf numFmtId="0" fontId="0" fillId="0" borderId="10" xfId="0" applyBorder="1" applyAlignment="1">
      <alignment horizontal="center" vertical="center" wrapText="1"/>
    </xf>
    <xf numFmtId="0" fontId="0" fillId="0" borderId="74" xfId="0" applyBorder="1" applyAlignment="1">
      <alignment horizontal="center" vertical="center" wrapText="1"/>
    </xf>
    <xf numFmtId="167" fontId="0" fillId="0" borderId="80" xfId="0" applyNumberFormat="1" applyBorder="1" applyAlignment="1">
      <alignment horizontal="right"/>
    </xf>
    <xf numFmtId="1" fontId="9" fillId="0" borderId="59" xfId="0" applyNumberFormat="1" applyFont="1" applyBorder="1" applyAlignment="1">
      <alignment horizontal="center"/>
    </xf>
    <xf numFmtId="1" fontId="9" fillId="0" borderId="60" xfId="0" applyNumberFormat="1" applyFont="1" applyBorder="1" applyAlignment="1">
      <alignment horizontal="center"/>
    </xf>
    <xf numFmtId="1" fontId="0" fillId="0" borderId="59" xfId="0" applyNumberFormat="1" applyBorder="1" applyAlignment="1">
      <alignment horizontal="center"/>
    </xf>
    <xf numFmtId="1" fontId="0" fillId="0" borderId="60" xfId="0" applyNumberFormat="1" applyBorder="1" applyAlignment="1">
      <alignment horizontal="center"/>
    </xf>
    <xf numFmtId="1" fontId="126" fillId="4" borderId="59" xfId="0" applyNumberFormat="1" applyFont="1" applyFill="1" applyBorder="1" applyAlignment="1" applyProtection="1">
      <alignment horizontal="center"/>
      <protection locked="0"/>
    </xf>
    <xf numFmtId="1" fontId="83" fillId="4" borderId="60" xfId="0" applyNumberFormat="1" applyFont="1" applyFill="1" applyBorder="1" applyAlignment="1" applyProtection="1">
      <alignment horizontal="center"/>
      <protection locked="0"/>
    </xf>
    <xf numFmtId="166" fontId="0" fillId="0" borderId="85" xfId="0" applyNumberFormat="1" applyBorder="1" applyAlignment="1">
      <alignment horizontal="right"/>
    </xf>
    <xf numFmtId="166" fontId="0" fillId="0" borderId="76" xfId="0" applyNumberFormat="1" applyBorder="1" applyAlignment="1">
      <alignment horizontal="right"/>
    </xf>
    <xf numFmtId="166" fontId="0" fillId="0" borderId="77" xfId="0" applyNumberFormat="1" applyBorder="1" applyAlignment="1">
      <alignment horizontal="right"/>
    </xf>
    <xf numFmtId="166" fontId="9" fillId="0" borderId="89" xfId="0" applyNumberFormat="1" applyFont="1" applyBorder="1" applyAlignment="1">
      <alignment horizontal="right"/>
    </xf>
    <xf numFmtId="0" fontId="9" fillId="0" borderId="90" xfId="0" applyFont="1" applyBorder="1" applyAlignment="1">
      <alignment horizontal="left"/>
    </xf>
    <xf numFmtId="0" fontId="0" fillId="0" borderId="30" xfId="0" quotePrefix="1" applyBorder="1" applyAlignment="1">
      <alignment horizontal="left"/>
    </xf>
    <xf numFmtId="0" fontId="0" fillId="0" borderId="29" xfId="0" quotePrefix="1" applyBorder="1" applyAlignment="1">
      <alignment horizontal="left"/>
    </xf>
    <xf numFmtId="1" fontId="126" fillId="4" borderId="30" xfId="0" applyNumberFormat="1" applyFont="1" applyFill="1" applyBorder="1" applyAlignment="1" applyProtection="1">
      <alignment horizontal="center"/>
      <protection locked="0"/>
    </xf>
    <xf numFmtId="1" fontId="12" fillId="4" borderId="29" xfId="0" applyNumberFormat="1" applyFont="1" applyFill="1" applyBorder="1" applyAlignment="1" applyProtection="1">
      <alignment horizontal="center"/>
      <protection locked="0"/>
    </xf>
    <xf numFmtId="0" fontId="92" fillId="0" borderId="0" xfId="0" applyFont="1" applyAlignment="1">
      <alignment horizontal="left"/>
    </xf>
    <xf numFmtId="0" fontId="9" fillId="0" borderId="62" xfId="0" applyFont="1" applyBorder="1" applyAlignment="1">
      <alignment horizontal="left" vertical="center" wrapText="1"/>
    </xf>
    <xf numFmtId="0" fontId="9" fillId="0" borderId="76" xfId="0" applyFont="1" applyBorder="1" applyAlignment="1">
      <alignment horizontal="left" vertical="center" wrapText="1"/>
    </xf>
    <xf numFmtId="0" fontId="9" fillId="0" borderId="77" xfId="0" applyFont="1" applyBorder="1" applyAlignment="1">
      <alignment horizontal="left" vertical="center" wrapText="1"/>
    </xf>
    <xf numFmtId="0" fontId="42" fillId="0" borderId="65" xfId="0" applyFont="1" applyBorder="1" applyAlignment="1">
      <alignment horizontal="left"/>
    </xf>
    <xf numFmtId="0" fontId="42" fillId="0" borderId="88" xfId="0" applyFont="1" applyBorder="1" applyAlignment="1">
      <alignment horizontal="left"/>
    </xf>
    <xf numFmtId="0" fontId="9" fillId="0" borderId="70" xfId="0" applyFont="1" applyBorder="1" applyAlignment="1">
      <alignment horizontal="left"/>
    </xf>
    <xf numFmtId="0" fontId="0" fillId="0" borderId="88" xfId="0" applyBorder="1" applyAlignment="1">
      <alignment horizontal="left"/>
    </xf>
    <xf numFmtId="0" fontId="9" fillId="0" borderId="72" xfId="0" applyFont="1" applyBorder="1" applyAlignment="1">
      <alignment horizontal="left" vertical="center" wrapText="1"/>
    </xf>
    <xf numFmtId="0" fontId="0" fillId="0" borderId="3" xfId="0" applyBorder="1" applyAlignment="1">
      <alignment horizontal="left" vertical="center" wrapText="1"/>
    </xf>
    <xf numFmtId="0" fontId="42" fillId="0" borderId="78" xfId="0" applyFont="1" applyBorder="1" applyAlignment="1">
      <alignment vertical="center"/>
    </xf>
    <xf numFmtId="0" fontId="42" fillId="0" borderId="14" xfId="0" applyFont="1" applyBorder="1" applyAlignment="1">
      <alignment vertical="center"/>
    </xf>
    <xf numFmtId="0" fontId="0" fillId="0" borderId="63" xfId="0" applyBorder="1" applyAlignment="1">
      <alignment horizontal="left"/>
    </xf>
    <xf numFmtId="0" fontId="92" fillId="0" borderId="11" xfId="0" applyFont="1" applyBorder="1" applyAlignment="1">
      <alignment horizontal="left"/>
    </xf>
    <xf numFmtId="1" fontId="9" fillId="0" borderId="3" xfId="0" applyNumberFormat="1" applyFont="1" applyBorder="1" applyAlignment="1">
      <alignment horizontal="left"/>
    </xf>
    <xf numFmtId="1" fontId="0" fillId="0" borderId="3" xfId="0" applyNumberFormat="1" applyBorder="1" applyAlignment="1">
      <alignment horizontal="left"/>
    </xf>
    <xf numFmtId="1" fontId="0" fillId="0" borderId="33" xfId="0" applyNumberFormat="1" applyBorder="1" applyAlignment="1">
      <alignment horizontal="left"/>
    </xf>
    <xf numFmtId="0" fontId="0" fillId="0" borderId="77" xfId="0" applyBorder="1" applyAlignment="1">
      <alignment horizontal="right"/>
    </xf>
    <xf numFmtId="167" fontId="9" fillId="0" borderId="86" xfId="0" applyNumberFormat="1" applyFont="1" applyBorder="1" applyAlignment="1">
      <alignment horizontal="right"/>
    </xf>
    <xf numFmtId="167" fontId="9" fillId="0" borderId="64" xfId="0" applyNumberFormat="1" applyFont="1" applyBorder="1" applyAlignment="1">
      <alignment horizontal="right"/>
    </xf>
    <xf numFmtId="167" fontId="9" fillId="0" borderId="63" xfId="0" applyNumberFormat="1" applyFont="1" applyBorder="1" applyAlignment="1">
      <alignment horizontal="right"/>
    </xf>
    <xf numFmtId="166" fontId="12" fillId="0" borderId="28" xfId="0" applyNumberFormat="1" applyFont="1" applyBorder="1" applyAlignment="1" applyProtection="1">
      <alignment horizontal="center"/>
      <protection locked="0"/>
    </xf>
    <xf numFmtId="166" fontId="12" fillId="0" borderId="17" xfId="0" applyNumberFormat="1" applyFont="1" applyBorder="1" applyAlignment="1" applyProtection="1">
      <alignment horizontal="center"/>
      <protection locked="0"/>
    </xf>
    <xf numFmtId="2" fontId="129" fillId="4" borderId="3" xfId="0" applyNumberFormat="1" applyFont="1" applyFill="1" applyBorder="1" applyAlignment="1" applyProtection="1">
      <alignment horizontal="center"/>
      <protection locked="0"/>
    </xf>
    <xf numFmtId="0" fontId="81" fillId="0" borderId="65" xfId="0" applyFont="1" applyBorder="1" applyAlignment="1">
      <alignment horizontal="left" vertical="top" wrapText="1"/>
    </xf>
    <xf numFmtId="0" fontId="81" fillId="0" borderId="66" xfId="0" applyFont="1" applyBorder="1" applyAlignment="1">
      <alignment horizontal="left" vertical="top" wrapText="1"/>
    </xf>
    <xf numFmtId="0" fontId="81" fillId="0" borderId="67" xfId="0" applyFont="1" applyBorder="1" applyAlignment="1">
      <alignment horizontal="left" vertical="top" wrapText="1"/>
    </xf>
    <xf numFmtId="0" fontId="0" fillId="0" borderId="1" xfId="0" applyBorder="1"/>
    <xf numFmtId="0" fontId="0" fillId="0" borderId="60" xfId="0" applyBorder="1"/>
    <xf numFmtId="0" fontId="13" fillId="0" borderId="65" xfId="0" applyFont="1" applyBorder="1" applyAlignment="1">
      <alignment vertical="center"/>
    </xf>
    <xf numFmtId="0" fontId="13" fillId="0" borderId="66" xfId="0" applyFont="1" applyBorder="1" applyAlignment="1">
      <alignment vertical="center"/>
    </xf>
    <xf numFmtId="0" fontId="13" fillId="0" borderId="67" xfId="0" applyFont="1" applyBorder="1" applyAlignment="1">
      <alignment vertical="center"/>
    </xf>
    <xf numFmtId="167" fontId="9" fillId="0" borderId="72" xfId="0" applyNumberFormat="1" applyFont="1" applyBorder="1" applyAlignment="1">
      <alignment horizontal="right" vertical="center"/>
    </xf>
    <xf numFmtId="167" fontId="9" fillId="0" borderId="3" xfId="0" applyNumberFormat="1" applyFont="1" applyBorder="1" applyAlignment="1">
      <alignment horizontal="right" vertical="center"/>
    </xf>
    <xf numFmtId="168" fontId="12" fillId="4" borderId="3" xfId="0" applyNumberFormat="1" applyFont="1" applyFill="1" applyBorder="1" applyAlignment="1" applyProtection="1">
      <alignment horizontal="center" vertical="center"/>
      <protection locked="0"/>
    </xf>
    <xf numFmtId="0" fontId="9" fillId="0" borderId="59" xfId="0" applyFont="1" applyBorder="1" applyAlignment="1">
      <alignment horizontal="left" vertical="center"/>
    </xf>
    <xf numFmtId="0" fontId="9" fillId="0" borderId="60" xfId="0" applyFont="1" applyBorder="1" applyAlignment="1">
      <alignment horizontal="left" vertical="center"/>
    </xf>
    <xf numFmtId="0" fontId="9" fillId="0" borderId="3" xfId="0" applyFont="1" applyBorder="1" applyAlignment="1">
      <alignment horizontal="left" vertical="center"/>
    </xf>
    <xf numFmtId="0" fontId="9" fillId="0" borderId="33" xfId="0" applyFont="1" applyBorder="1" applyAlignment="1">
      <alignment horizontal="left" vertical="center"/>
    </xf>
    <xf numFmtId="0" fontId="9" fillId="0" borderId="40" xfId="0" applyFont="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167" fontId="9" fillId="0" borderId="80" xfId="0" applyNumberFormat="1" applyFont="1" applyBorder="1" applyAlignment="1">
      <alignment horizontal="right" vertical="center"/>
    </xf>
    <xf numFmtId="167" fontId="9" fillId="0" borderId="1" xfId="0" applyNumberFormat="1" applyFont="1" applyBorder="1" applyAlignment="1">
      <alignment horizontal="right" vertical="center"/>
    </xf>
    <xf numFmtId="167" fontId="9" fillId="0" borderId="60" xfId="0" applyNumberFormat="1" applyFont="1" applyBorder="1" applyAlignment="1">
      <alignment horizontal="right" vertical="center"/>
    </xf>
    <xf numFmtId="1" fontId="12" fillId="4" borderId="59" xfId="0" applyNumberFormat="1" applyFont="1" applyFill="1" applyBorder="1" applyAlignment="1" applyProtection="1">
      <alignment horizontal="center" vertical="center"/>
      <protection locked="0"/>
    </xf>
    <xf numFmtId="1" fontId="12" fillId="4" borderId="60" xfId="0" applyNumberFormat="1" applyFont="1" applyFill="1" applyBorder="1" applyAlignment="1" applyProtection="1">
      <alignment horizontal="center" vertical="center"/>
      <protection locked="0"/>
    </xf>
    <xf numFmtId="0" fontId="83" fillId="0" borderId="59" xfId="0" applyFont="1" applyBorder="1" applyAlignment="1">
      <alignment horizontal="left" vertical="center" wrapText="1"/>
    </xf>
    <xf numFmtId="0" fontId="83" fillId="0" borderId="1" xfId="0" applyFont="1" applyBorder="1" applyAlignment="1">
      <alignment horizontal="left" vertical="center" wrapText="1"/>
    </xf>
    <xf numFmtId="0" fontId="83" fillId="0" borderId="60" xfId="0" applyFont="1" applyBorder="1" applyAlignment="1">
      <alignment horizontal="left" vertical="center" wrapText="1"/>
    </xf>
    <xf numFmtId="0" fontId="9" fillId="0" borderId="59" xfId="0" applyFont="1" applyBorder="1" applyAlignment="1">
      <alignment horizontal="left" vertical="center" wrapText="1"/>
    </xf>
    <xf numFmtId="0" fontId="9" fillId="0" borderId="1" xfId="0" applyFont="1" applyBorder="1" applyAlignment="1">
      <alignment horizontal="left" vertical="center" wrapText="1"/>
    </xf>
    <xf numFmtId="0" fontId="9" fillId="0" borderId="81" xfId="0" applyFont="1" applyBorder="1" applyAlignment="1">
      <alignment horizontal="left" vertical="center" wrapText="1"/>
    </xf>
    <xf numFmtId="167" fontId="9" fillId="0" borderId="80" xfId="0" applyNumberFormat="1" applyFont="1" applyBorder="1" applyAlignment="1">
      <alignment horizontal="right" vertical="center" wrapText="1"/>
    </xf>
    <xf numFmtId="167" fontId="9" fillId="0" borderId="1" xfId="0" applyNumberFormat="1" applyFont="1" applyBorder="1" applyAlignment="1">
      <alignment horizontal="right" vertical="center" wrapText="1"/>
    </xf>
    <xf numFmtId="167" fontId="9" fillId="0" borderId="60" xfId="0" applyNumberFormat="1" applyFont="1" applyBorder="1" applyAlignment="1">
      <alignment horizontal="right" vertical="center" wrapText="1"/>
    </xf>
    <xf numFmtId="167" fontId="9" fillId="0" borderId="85" xfId="0" applyNumberFormat="1" applyFont="1" applyBorder="1" applyAlignment="1">
      <alignment horizontal="right" vertical="center" wrapText="1"/>
    </xf>
    <xf numFmtId="167" fontId="9" fillId="0" borderId="76" xfId="0" applyNumberFormat="1" applyFont="1" applyBorder="1" applyAlignment="1">
      <alignment horizontal="right" vertical="center" wrapText="1"/>
    </xf>
    <xf numFmtId="167" fontId="9" fillId="0" borderId="77" xfId="0" applyNumberFormat="1" applyFont="1" applyBorder="1" applyAlignment="1">
      <alignment horizontal="right" vertical="center" wrapText="1"/>
    </xf>
    <xf numFmtId="168" fontId="12" fillId="4" borderId="10" xfId="0" applyNumberFormat="1" applyFont="1" applyFill="1" applyBorder="1" applyAlignment="1" applyProtection="1">
      <alignment horizontal="center" vertical="center"/>
      <protection locked="0"/>
    </xf>
    <xf numFmtId="0" fontId="9" fillId="0" borderId="62" xfId="0" applyFont="1" applyBorder="1" applyAlignment="1">
      <alignment horizontal="left" vertical="center"/>
    </xf>
    <xf numFmtId="0" fontId="9" fillId="0" borderId="77" xfId="0" applyFont="1" applyBorder="1" applyAlignment="1">
      <alignment horizontal="left" vertical="center"/>
    </xf>
    <xf numFmtId="0" fontId="9" fillId="0" borderId="10" xfId="0" applyFont="1" applyBorder="1" applyAlignment="1">
      <alignment horizontal="left" vertical="center"/>
    </xf>
    <xf numFmtId="0" fontId="9" fillId="0" borderId="74" xfId="0" applyFont="1" applyBorder="1" applyAlignment="1">
      <alignment horizontal="left" vertical="center"/>
    </xf>
    <xf numFmtId="1" fontId="12" fillId="4" borderId="3" xfId="0" applyNumberFormat="1" applyFont="1" applyFill="1" applyBorder="1" applyAlignment="1" applyProtection="1">
      <alignment horizontal="center" vertical="center"/>
      <protection locked="0"/>
    </xf>
    <xf numFmtId="0" fontId="36" fillId="0" borderId="0" xfId="0" applyFont="1" applyAlignment="1">
      <alignment wrapText="1"/>
    </xf>
    <xf numFmtId="0" fontId="36" fillId="0" borderId="0" xfId="0" applyFont="1" applyAlignment="1">
      <alignment horizontal="left" vertical="top" wrapText="1"/>
    </xf>
    <xf numFmtId="0" fontId="0" fillId="0" borderId="0" xfId="0" applyAlignment="1">
      <alignment wrapText="1"/>
    </xf>
    <xf numFmtId="166" fontId="0" fillId="0" borderId="0" xfId="0" applyNumberFormat="1" applyAlignment="1">
      <alignment horizontal="left" wrapText="1"/>
    </xf>
    <xf numFmtId="2" fontId="12" fillId="4" borderId="3" xfId="0" applyNumberFormat="1" applyFont="1" applyFill="1" applyBorder="1" applyAlignment="1" applyProtection="1">
      <alignment horizontal="center" vertical="center"/>
      <protection locked="0"/>
    </xf>
    <xf numFmtId="9" fontId="12" fillId="4" borderId="3" xfId="7" applyFont="1" applyFill="1" applyBorder="1" applyAlignment="1" applyProtection="1">
      <alignment horizontal="center"/>
      <protection locked="0"/>
    </xf>
    <xf numFmtId="0" fontId="9" fillId="0" borderId="0" xfId="0" applyFont="1" applyAlignment="1">
      <alignment horizontal="center"/>
    </xf>
    <xf numFmtId="0" fontId="9" fillId="0" borderId="0" xfId="0" applyFont="1" applyAlignment="1">
      <alignment horizontal="left" vertical="top" wrapText="1"/>
    </xf>
    <xf numFmtId="0" fontId="39" fillId="0" borderId="0" xfId="0" applyFont="1" applyAlignment="1">
      <alignment horizontal="left"/>
    </xf>
    <xf numFmtId="0" fontId="39" fillId="0" borderId="0" xfId="0" applyFont="1" applyAlignment="1">
      <alignment horizontal="center"/>
    </xf>
    <xf numFmtId="0" fontId="70" fillId="0" borderId="0" xfId="5" applyFont="1" applyAlignment="1">
      <alignment horizontal="center"/>
    </xf>
    <xf numFmtId="0" fontId="79" fillId="0" borderId="0" xfId="4" applyAlignment="1">
      <alignment horizontal="center"/>
    </xf>
    <xf numFmtId="0" fontId="67" fillId="0" borderId="0" xfId="4" applyFont="1" applyAlignment="1">
      <alignment horizontal="center"/>
    </xf>
    <xf numFmtId="0" fontId="68" fillId="0" borderId="0" xfId="5" applyFont="1" applyAlignment="1">
      <alignment horizontal="center"/>
    </xf>
    <xf numFmtId="0" fontId="68" fillId="0" borderId="6" xfId="5" applyFont="1" applyBorder="1" applyAlignment="1">
      <alignment horizontal="center"/>
    </xf>
    <xf numFmtId="166" fontId="68" fillId="0" borderId="8" xfId="5" applyNumberFormat="1" applyFont="1" applyBorder="1" applyAlignment="1">
      <alignment horizontal="center" vertical="top"/>
    </xf>
    <xf numFmtId="166" fontId="68" fillId="0" borderId="0" xfId="5" applyNumberFormat="1" applyFont="1" applyAlignment="1">
      <alignment horizontal="center" vertical="top"/>
    </xf>
    <xf numFmtId="0" fontId="67" fillId="0" borderId="28" xfId="4" applyFont="1" applyBorder="1" applyAlignment="1">
      <alignment horizontal="left"/>
    </xf>
    <xf numFmtId="0" fontId="67" fillId="0" borderId="0" xfId="4" applyFont="1" applyAlignment="1">
      <alignment horizontal="left"/>
    </xf>
    <xf numFmtId="0" fontId="67" fillId="0" borderId="17" xfId="4" applyFont="1" applyBorder="1" applyAlignment="1">
      <alignment horizontal="left"/>
    </xf>
    <xf numFmtId="0" fontId="67" fillId="0" borderId="6" xfId="4" applyFont="1" applyBorder="1" applyAlignment="1">
      <alignment horizontal="center"/>
    </xf>
    <xf numFmtId="0" fontId="73" fillId="0" borderId="65" xfId="4" applyFont="1" applyBorder="1" applyAlignment="1">
      <alignment horizontal="center"/>
    </xf>
    <xf numFmtId="0" fontId="73" fillId="0" borderId="66" xfId="4" applyFont="1" applyBorder="1" applyAlignment="1">
      <alignment horizontal="center"/>
    </xf>
    <xf numFmtId="0" fontId="73" fillId="0" borderId="67" xfId="4" applyFont="1" applyBorder="1" applyAlignment="1">
      <alignment horizontal="center"/>
    </xf>
    <xf numFmtId="166" fontId="68" fillId="0" borderId="28" xfId="5" applyNumberFormat="1" applyFont="1" applyBorder="1" applyAlignment="1">
      <alignment horizontal="left"/>
    </xf>
    <xf numFmtId="166" fontId="68" fillId="0" borderId="0" xfId="5" applyNumberFormat="1" applyFont="1" applyAlignment="1">
      <alignment horizontal="left"/>
    </xf>
    <xf numFmtId="170" fontId="68" fillId="0" borderId="28" xfId="5" applyNumberFormat="1" applyFont="1" applyBorder="1" applyAlignment="1">
      <alignment horizontal="left"/>
    </xf>
    <xf numFmtId="170" fontId="68" fillId="0" borderId="0" xfId="5" applyNumberFormat="1" applyFont="1" applyAlignment="1">
      <alignment horizontal="left"/>
    </xf>
    <xf numFmtId="170" fontId="68" fillId="0" borderId="17" xfId="5" applyNumberFormat="1" applyFont="1" applyBorder="1" applyAlignment="1">
      <alignment horizontal="left"/>
    </xf>
    <xf numFmtId="0" fontId="79" fillId="0" borderId="30" xfId="4" applyBorder="1" applyAlignment="1">
      <alignment horizontal="center"/>
    </xf>
    <xf numFmtId="0" fontId="79" fillId="0" borderId="2" xfId="4" applyBorder="1" applyAlignment="1">
      <alignment horizontal="center"/>
    </xf>
    <xf numFmtId="0" fontId="79" fillId="0" borderId="29" xfId="4" applyBorder="1" applyAlignment="1">
      <alignment horizontal="center"/>
    </xf>
    <xf numFmtId="0" fontId="0" fillId="0" borderId="0" xfId="0" applyAlignment="1">
      <alignment horizontal="left"/>
    </xf>
    <xf numFmtId="0" fontId="0" fillId="0" borderId="17" xfId="0" applyBorder="1" applyAlignment="1">
      <alignment horizontal="left"/>
    </xf>
    <xf numFmtId="0" fontId="0" fillId="0" borderId="2" xfId="0" applyBorder="1" applyAlignment="1">
      <alignment horizontal="left"/>
    </xf>
    <xf numFmtId="0" fontId="0" fillId="0" borderId="29" xfId="0" applyBorder="1" applyAlignment="1">
      <alignment horizontal="left"/>
    </xf>
    <xf numFmtId="0" fontId="12" fillId="0" borderId="26" xfId="0" applyFont="1" applyBorder="1" applyAlignment="1">
      <alignment horizontal="right"/>
    </xf>
    <xf numFmtId="0" fontId="46" fillId="0" borderId="31" xfId="0" applyFont="1" applyBorder="1"/>
    <xf numFmtId="0" fontId="54" fillId="0" borderId="0" xfId="0" applyFont="1" applyAlignment="1">
      <alignment horizontal="left"/>
    </xf>
    <xf numFmtId="0" fontId="54" fillId="0" borderId="17" xfId="0" applyFont="1" applyBorder="1" applyAlignment="1">
      <alignment horizontal="left"/>
    </xf>
    <xf numFmtId="0" fontId="54" fillId="0" borderId="2" xfId="0" applyFont="1" applyBorder="1" applyAlignment="1">
      <alignment horizontal="left"/>
    </xf>
    <xf numFmtId="0" fontId="54" fillId="0" borderId="29" xfId="0" applyFont="1" applyBorder="1" applyAlignment="1">
      <alignment horizontal="left"/>
    </xf>
    <xf numFmtId="0" fontId="9" fillId="0" borderId="0" xfId="0" applyFont="1"/>
    <xf numFmtId="0" fontId="12" fillId="0" borderId="49" xfId="0" applyFont="1" applyBorder="1" applyAlignment="1">
      <alignment horizontal="center" wrapText="1"/>
    </xf>
    <xf numFmtId="0" fontId="12" fillId="0" borderId="0" xfId="0" applyFont="1" applyAlignment="1">
      <alignment horizontal="center" wrapText="1"/>
    </xf>
    <xf numFmtId="0" fontId="12" fillId="0" borderId="0" xfId="0" applyFont="1"/>
    <xf numFmtId="0" fontId="12" fillId="0" borderId="26" xfId="0" applyFont="1" applyBorder="1" applyAlignment="1">
      <alignment horizontal="left"/>
    </xf>
    <xf numFmtId="0" fontId="12" fillId="0" borderId="0" xfId="0" applyFont="1" applyAlignment="1">
      <alignment horizontal="left"/>
    </xf>
    <xf numFmtId="0" fontId="9" fillId="2" borderId="0" xfId="0" applyFont="1" applyFill="1" applyAlignment="1" applyProtection="1">
      <alignment horizontal="right"/>
      <protection hidden="1"/>
    </xf>
    <xf numFmtId="0" fontId="42" fillId="2" borderId="0" xfId="0" applyFont="1" applyFill="1" applyAlignment="1">
      <alignment horizontal="left" wrapText="1"/>
    </xf>
    <xf numFmtId="0" fontId="28" fillId="2" borderId="0" xfId="0" applyFont="1" applyFill="1" applyAlignment="1" applyProtection="1">
      <alignment horizontal="left" vertical="center" wrapText="1"/>
      <protection locked="0" hidden="1"/>
    </xf>
    <xf numFmtId="3" fontId="126" fillId="4" borderId="29" xfId="0" applyNumberFormat="1" applyFont="1" applyFill="1" applyBorder="1" applyAlignment="1" applyProtection="1">
      <alignment horizontal="center" vertical="center" wrapText="1"/>
      <protection locked="0"/>
    </xf>
    <xf numFmtId="3" fontId="9" fillId="4" borderId="12" xfId="0" applyNumberFormat="1" applyFont="1" applyFill="1" applyBorder="1" applyAlignment="1" applyProtection="1">
      <alignment horizontal="center" vertical="center" wrapText="1"/>
      <protection locked="0"/>
    </xf>
    <xf numFmtId="0" fontId="9" fillId="2" borderId="89" xfId="0" applyFont="1" applyFill="1" applyBorder="1" applyAlignment="1" applyProtection="1">
      <alignment horizontal="left" vertical="top" wrapText="1"/>
      <protection hidden="1"/>
    </xf>
    <xf numFmtId="0" fontId="0" fillId="2" borderId="2" xfId="0" applyFill="1" applyBorder="1" applyAlignment="1" applyProtection="1">
      <alignment horizontal="left" vertical="top" wrapText="1"/>
      <protection hidden="1"/>
    </xf>
    <xf numFmtId="0" fontId="0" fillId="2" borderId="29" xfId="0" applyFill="1" applyBorder="1" applyAlignment="1" applyProtection="1">
      <alignment horizontal="left" vertical="top" wrapText="1"/>
      <protection hidden="1"/>
    </xf>
    <xf numFmtId="0" fontId="9" fillId="2" borderId="86" xfId="0" applyFont="1" applyFill="1" applyBorder="1" applyAlignment="1" applyProtection="1">
      <alignment horizontal="right"/>
      <protection hidden="1"/>
    </xf>
    <xf numFmtId="0" fontId="9" fillId="2" borderId="64" xfId="0" applyFont="1" applyFill="1" applyBorder="1" applyAlignment="1" applyProtection="1">
      <alignment horizontal="right"/>
      <protection hidden="1"/>
    </xf>
    <xf numFmtId="0" fontId="9" fillId="2" borderId="63" xfId="0" applyFont="1" applyFill="1" applyBorder="1" applyAlignment="1" applyProtection="1">
      <alignment horizontal="right"/>
      <protection hidden="1"/>
    </xf>
    <xf numFmtId="0" fontId="28" fillId="2" borderId="0" xfId="0" applyFont="1" applyFill="1" applyAlignment="1" applyProtection="1">
      <alignment vertical="center" wrapText="1"/>
      <protection locked="0" hidden="1"/>
    </xf>
    <xf numFmtId="0" fontId="48" fillId="2" borderId="0" xfId="0" applyFont="1" applyFill="1" applyAlignment="1" applyProtection="1">
      <alignment horizontal="left"/>
      <protection hidden="1"/>
    </xf>
    <xf numFmtId="0" fontId="9" fillId="2" borderId="80" xfId="0" applyFont="1" applyFill="1" applyBorder="1" applyAlignment="1" applyProtection="1">
      <alignment horizontal="left" vertical="top" wrapText="1"/>
      <protection hidden="1"/>
    </xf>
    <xf numFmtId="0" fontId="0" fillId="2" borderId="1" xfId="0" applyFill="1" applyBorder="1" applyAlignment="1" applyProtection="1">
      <alignment horizontal="left" vertical="top" wrapText="1"/>
      <protection hidden="1"/>
    </xf>
    <xf numFmtId="0" fontId="0" fillId="2" borderId="60" xfId="0" applyFill="1" applyBorder="1" applyAlignment="1" applyProtection="1">
      <alignment horizontal="left" vertical="top" wrapText="1"/>
      <protection hidden="1"/>
    </xf>
    <xf numFmtId="0" fontId="93" fillId="0" borderId="0" xfId="0" applyFont="1" applyAlignment="1">
      <alignment horizontal="left" vertical="top" wrapText="1"/>
    </xf>
    <xf numFmtId="0" fontId="83" fillId="2" borderId="0" xfId="0" applyFont="1" applyFill="1" applyAlignment="1" applyProtection="1">
      <alignment horizontal="left" wrapText="1"/>
      <protection hidden="1"/>
    </xf>
    <xf numFmtId="0" fontId="9" fillId="0" borderId="0" xfId="0" applyFont="1" applyAlignment="1">
      <alignment horizontal="right"/>
    </xf>
    <xf numFmtId="0" fontId="12" fillId="2" borderId="0" xfId="0" applyFont="1" applyFill="1" applyAlignment="1" applyProtection="1">
      <alignment horizontal="right" vertical="top" wrapText="1"/>
      <protection hidden="1"/>
    </xf>
    <xf numFmtId="0" fontId="13" fillId="2" borderId="69" xfId="0" applyFont="1" applyFill="1" applyBorder="1" applyAlignment="1" applyProtection="1">
      <alignment horizontal="center"/>
      <protection hidden="1"/>
    </xf>
    <xf numFmtId="3" fontId="126" fillId="4" borderId="60" xfId="0" applyNumberFormat="1" applyFont="1" applyFill="1" applyBorder="1" applyAlignment="1" applyProtection="1">
      <alignment horizontal="center" vertical="center" wrapText="1"/>
      <protection locked="0"/>
    </xf>
    <xf numFmtId="3" fontId="9" fillId="4" borderId="3" xfId="0" applyNumberFormat="1" applyFont="1" applyFill="1" applyBorder="1" applyAlignment="1" applyProtection="1">
      <alignment horizontal="center" vertical="center" wrapText="1"/>
      <protection locked="0"/>
    </xf>
    <xf numFmtId="3" fontId="126" fillId="4" borderId="77" xfId="0" applyNumberFormat="1" applyFont="1" applyFill="1" applyBorder="1" applyAlignment="1" applyProtection="1">
      <alignment horizontal="center" vertical="center" wrapText="1"/>
      <protection locked="0"/>
    </xf>
    <xf numFmtId="3" fontId="9" fillId="4" borderId="10" xfId="0" applyNumberFormat="1" applyFont="1" applyFill="1" applyBorder="1" applyAlignment="1" applyProtection="1">
      <alignment horizontal="center" vertical="center" wrapText="1"/>
      <protection locked="0"/>
    </xf>
    <xf numFmtId="0" fontId="13" fillId="2" borderId="88" xfId="0" applyFont="1" applyFill="1" applyBorder="1" applyAlignment="1" applyProtection="1">
      <alignment horizontal="center" wrapText="1"/>
      <protection hidden="1"/>
    </xf>
    <xf numFmtId="0" fontId="13" fillId="2" borderId="69" xfId="0" applyFont="1" applyFill="1" applyBorder="1" applyAlignment="1" applyProtection="1">
      <alignment horizontal="center" wrapText="1"/>
      <protection hidden="1"/>
    </xf>
    <xf numFmtId="3" fontId="126" fillId="4" borderId="12" xfId="0" applyNumberFormat="1" applyFont="1" applyFill="1" applyBorder="1" applyAlignment="1" applyProtection="1">
      <alignment horizontal="center" vertical="center" wrapText="1"/>
      <protection locked="0"/>
    </xf>
    <xf numFmtId="3" fontId="126" fillId="4" borderId="59" xfId="0" applyNumberFormat="1" applyFont="1" applyFill="1" applyBorder="1" applyAlignment="1" applyProtection="1">
      <alignment horizontal="center" vertical="center" wrapText="1"/>
      <protection locked="0"/>
    </xf>
    <xf numFmtId="3" fontId="9" fillId="4" borderId="60" xfId="0" applyNumberFormat="1" applyFont="1" applyFill="1" applyBorder="1" applyAlignment="1" applyProtection="1">
      <alignment horizontal="center" vertical="center" wrapText="1"/>
      <protection locked="0"/>
    </xf>
    <xf numFmtId="3" fontId="126" fillId="4" borderId="3" xfId="0" applyNumberFormat="1" applyFont="1" applyFill="1" applyBorder="1" applyAlignment="1" applyProtection="1">
      <alignment horizontal="center" vertical="center" wrapText="1"/>
      <protection locked="0"/>
    </xf>
    <xf numFmtId="3" fontId="126" fillId="4" borderId="10" xfId="0" applyNumberFormat="1" applyFont="1" applyFill="1" applyBorder="1" applyAlignment="1" applyProtection="1">
      <alignment horizontal="center" vertical="center" wrapText="1"/>
      <protection locked="0"/>
    </xf>
    <xf numFmtId="0" fontId="28" fillId="2" borderId="75" xfId="0" applyFont="1" applyFill="1" applyBorder="1" applyAlignment="1" applyProtection="1">
      <alignment horizontal="left" vertical="center" wrapText="1"/>
      <protection locked="0" hidden="1"/>
    </xf>
    <xf numFmtId="0" fontId="28" fillId="2" borderId="10" xfId="0" applyFont="1" applyFill="1" applyBorder="1" applyAlignment="1" applyProtection="1">
      <alignment horizontal="left" vertical="center" wrapText="1"/>
      <protection locked="0" hidden="1"/>
    </xf>
    <xf numFmtId="0" fontId="9" fillId="2" borderId="40" xfId="0" applyFont="1" applyFill="1" applyBorder="1" applyAlignment="1" applyProtection="1">
      <alignment horizontal="left" wrapText="1"/>
      <protection hidden="1"/>
    </xf>
    <xf numFmtId="0" fontId="9" fillId="2" borderId="26" xfId="0" applyFont="1" applyFill="1" applyBorder="1" applyAlignment="1" applyProtection="1">
      <alignment horizontal="left" wrapText="1"/>
      <protection hidden="1"/>
    </xf>
    <xf numFmtId="0" fontId="9" fillId="2" borderId="30" xfId="0" applyFont="1" applyFill="1" applyBorder="1" applyAlignment="1" applyProtection="1">
      <alignment horizontal="left" wrapText="1"/>
      <protection hidden="1"/>
    </xf>
    <xf numFmtId="0" fontId="9" fillId="2" borderId="2" xfId="0" applyFont="1" applyFill="1" applyBorder="1" applyAlignment="1" applyProtection="1">
      <alignment horizontal="left" wrapText="1"/>
      <protection hidden="1"/>
    </xf>
    <xf numFmtId="0" fontId="11" fillId="2" borderId="0" xfId="0" applyFont="1" applyFill="1" applyAlignment="1" applyProtection="1">
      <alignment horizontal="left" vertical="top" wrapText="1"/>
      <protection hidden="1"/>
    </xf>
    <xf numFmtId="0" fontId="9" fillId="2" borderId="0" xfId="0" applyFont="1" applyFill="1" applyAlignment="1" applyProtection="1">
      <alignment horizontal="left"/>
      <protection hidden="1"/>
    </xf>
    <xf numFmtId="0" fontId="0" fillId="2" borderId="0" xfId="0" applyFill="1" applyAlignment="1" applyProtection="1">
      <alignment horizontal="left"/>
      <protection hidden="1"/>
    </xf>
    <xf numFmtId="0" fontId="9" fillId="2" borderId="0" xfId="0" applyFont="1" applyFill="1" applyAlignment="1" applyProtection="1">
      <alignment horizontal="left" wrapText="1"/>
      <protection hidden="1"/>
    </xf>
    <xf numFmtId="0" fontId="83" fillId="2" borderId="0" xfId="0" applyFont="1" applyFill="1" applyAlignment="1">
      <alignment horizontal="left" wrapText="1"/>
    </xf>
    <xf numFmtId="3" fontId="9" fillId="2" borderId="0" xfId="0" applyNumberFormat="1" applyFont="1" applyFill="1" applyAlignment="1" applyProtection="1">
      <alignment horizontal="left" vertical="center" wrapText="1"/>
      <protection hidden="1"/>
    </xf>
    <xf numFmtId="4" fontId="9" fillId="2" borderId="2" xfId="0" applyNumberFormat="1" applyFont="1" applyFill="1" applyBorder="1" applyAlignment="1" applyProtection="1">
      <alignment horizontal="center" vertical="center" wrapText="1"/>
      <protection hidden="1"/>
    </xf>
    <xf numFmtId="3" fontId="27" fillId="2" borderId="26" xfId="0" applyNumberFormat="1" applyFont="1" applyFill="1" applyBorder="1" applyAlignment="1" applyProtection="1">
      <alignment horizontal="center" vertical="center" wrapText="1"/>
      <protection hidden="1"/>
    </xf>
    <xf numFmtId="0" fontId="28" fillId="2" borderId="72" xfId="0" applyFont="1" applyFill="1" applyBorder="1" applyAlignment="1" applyProtection="1">
      <alignment horizontal="left" vertical="center" wrapText="1"/>
      <protection locked="0" hidden="1"/>
    </xf>
    <xf numFmtId="0" fontId="28" fillId="2" borderId="3" xfId="0" applyFont="1" applyFill="1" applyBorder="1" applyAlignment="1" applyProtection="1">
      <alignment horizontal="left" vertical="center" wrapText="1"/>
      <protection locked="0" hidden="1"/>
    </xf>
    <xf numFmtId="0" fontId="9" fillId="6" borderId="0" xfId="0" applyFont="1" applyFill="1" applyAlignment="1">
      <alignment horizontal="right" vertical="top" wrapText="1"/>
    </xf>
    <xf numFmtId="0" fontId="9" fillId="2" borderId="0" xfId="0" applyFont="1" applyFill="1" applyAlignment="1" applyProtection="1">
      <alignment horizontal="right" vertical="top" wrapText="1"/>
      <protection hidden="1"/>
    </xf>
    <xf numFmtId="0" fontId="9" fillId="2" borderId="0" xfId="0" applyFont="1" applyFill="1" applyAlignment="1" applyProtection="1">
      <alignment horizontal="right" wrapText="1"/>
      <protection hidden="1"/>
    </xf>
    <xf numFmtId="0" fontId="28" fillId="2" borderId="11" xfId="0" applyFont="1" applyFill="1" applyBorder="1" applyAlignment="1" applyProtection="1">
      <alignment horizontal="left" vertical="center" wrapText="1"/>
      <protection locked="0" hidden="1"/>
    </xf>
    <xf numFmtId="0" fontId="28" fillId="2" borderId="91" xfId="0" applyFont="1" applyFill="1" applyBorder="1" applyAlignment="1" applyProtection="1">
      <alignment horizontal="left" vertical="center" wrapText="1"/>
      <protection locked="0" hidden="1"/>
    </xf>
    <xf numFmtId="0" fontId="28" fillId="2" borderId="9" xfId="0" applyFont="1" applyFill="1" applyBorder="1" applyAlignment="1" applyProtection="1">
      <alignment horizontal="left" vertical="center" wrapText="1"/>
      <protection locked="0" hidden="1"/>
    </xf>
    <xf numFmtId="0" fontId="28" fillId="2" borderId="13" xfId="0" applyFont="1" applyFill="1" applyBorder="1" applyAlignment="1" applyProtection="1">
      <alignment horizontal="left" vertical="center" wrapText="1"/>
      <protection locked="0" hidden="1"/>
    </xf>
    <xf numFmtId="0" fontId="28" fillId="2" borderId="92" xfId="0" applyFont="1" applyFill="1" applyBorder="1" applyAlignment="1" applyProtection="1">
      <alignment horizontal="left" vertical="center" wrapText="1"/>
      <protection locked="0" hidden="1"/>
    </xf>
    <xf numFmtId="0" fontId="9" fillId="2" borderId="65" xfId="0" applyFont="1" applyFill="1" applyBorder="1" applyAlignment="1" applyProtection="1">
      <alignment horizontal="right"/>
      <protection hidden="1"/>
    </xf>
    <xf numFmtId="0" fontId="9" fillId="2" borderId="66" xfId="0" applyFont="1" applyFill="1" applyBorder="1" applyAlignment="1" applyProtection="1">
      <alignment horizontal="right"/>
      <protection hidden="1"/>
    </xf>
    <xf numFmtId="0" fontId="9" fillId="2" borderId="88" xfId="0" applyFont="1" applyFill="1" applyBorder="1" applyAlignment="1" applyProtection="1">
      <alignment horizontal="right"/>
      <protection hidden="1"/>
    </xf>
    <xf numFmtId="0" fontId="9" fillId="2" borderId="0" xfId="0" applyFont="1" applyFill="1" applyAlignment="1" applyProtection="1">
      <alignment horizontal="left" vertical="center" wrapText="1"/>
      <protection hidden="1"/>
    </xf>
    <xf numFmtId="0" fontId="9" fillId="2" borderId="11" xfId="0" applyFont="1" applyFill="1" applyBorder="1" applyAlignment="1" applyProtection="1">
      <alignment horizontal="left" vertical="top" wrapText="1"/>
      <protection hidden="1"/>
    </xf>
    <xf numFmtId="0" fontId="0" fillId="2" borderId="0" xfId="0" applyFill="1" applyAlignment="1" applyProtection="1">
      <alignment horizontal="left" vertical="top" wrapText="1"/>
      <protection hidden="1"/>
    </xf>
    <xf numFmtId="0" fontId="0" fillId="2" borderId="17" xfId="0" applyFill="1" applyBorder="1" applyAlignment="1" applyProtection="1">
      <alignment horizontal="left" vertical="top" wrapText="1"/>
      <protection hidden="1"/>
    </xf>
    <xf numFmtId="0" fontId="13" fillId="2" borderId="79" xfId="0" applyFont="1" applyFill="1" applyBorder="1" applyAlignment="1">
      <alignment horizontal="center"/>
    </xf>
    <xf numFmtId="0" fontId="13" fillId="2" borderId="73" xfId="0" applyFont="1" applyFill="1" applyBorder="1" applyAlignment="1">
      <alignment horizontal="center"/>
    </xf>
    <xf numFmtId="0" fontId="13" fillId="2" borderId="82" xfId="0" applyFont="1" applyFill="1" applyBorder="1" applyAlignment="1">
      <alignment horizontal="center"/>
    </xf>
    <xf numFmtId="0" fontId="18" fillId="2" borderId="0" xfId="0" applyFont="1" applyFill="1" applyAlignment="1" applyProtection="1">
      <alignment horizontal="left" vertical="center" wrapText="1"/>
      <protection hidden="1"/>
    </xf>
    <xf numFmtId="0" fontId="9" fillId="2" borderId="0" xfId="0" applyFont="1" applyFill="1" applyAlignment="1" applyProtection="1">
      <alignment horizontal="center" vertical="center" wrapText="1"/>
      <protection hidden="1"/>
    </xf>
    <xf numFmtId="0" fontId="12" fillId="2" borderId="65" xfId="0" applyFont="1" applyFill="1" applyBorder="1" applyAlignment="1" applyProtection="1">
      <alignment horizontal="center" vertical="top" wrapText="1"/>
      <protection locked="0"/>
    </xf>
    <xf numFmtId="0" fontId="12" fillId="2" borderId="66" xfId="0" applyFont="1" applyFill="1" applyBorder="1" applyAlignment="1" applyProtection="1">
      <alignment horizontal="center" vertical="top"/>
      <protection locked="0"/>
    </xf>
    <xf numFmtId="0" fontId="12" fillId="2" borderId="67" xfId="0" applyFont="1" applyFill="1" applyBorder="1" applyAlignment="1" applyProtection="1">
      <alignment horizontal="center" vertical="top"/>
      <protection locked="0"/>
    </xf>
    <xf numFmtId="0" fontId="28" fillId="2" borderId="78" xfId="0" applyFont="1" applyFill="1" applyBorder="1" applyAlignment="1" applyProtection="1">
      <alignment horizontal="left" vertical="center" wrapText="1"/>
      <protection locked="0" hidden="1"/>
    </xf>
    <xf numFmtId="0" fontId="28" fillId="2" borderId="14" xfId="0" applyFont="1" applyFill="1" applyBorder="1" applyAlignment="1" applyProtection="1">
      <alignment horizontal="left" vertical="center" wrapText="1"/>
      <protection locked="0" hidden="1"/>
    </xf>
    <xf numFmtId="0" fontId="28" fillId="2" borderId="50" xfId="0" applyFont="1" applyFill="1" applyBorder="1" applyAlignment="1" applyProtection="1">
      <alignment horizontal="left" vertical="center" wrapText="1"/>
      <protection locked="0" hidden="1"/>
    </xf>
    <xf numFmtId="0" fontId="83" fillId="2" borderId="0" xfId="0" applyFont="1" applyFill="1" applyAlignment="1" applyProtection="1">
      <alignment horizontal="left" vertical="center" wrapText="1"/>
      <protection hidden="1"/>
    </xf>
    <xf numFmtId="0" fontId="83" fillId="2" borderId="0" xfId="0" applyFont="1" applyFill="1" applyAlignment="1" applyProtection="1">
      <alignment horizontal="left" vertical="center"/>
      <protection hidden="1"/>
    </xf>
    <xf numFmtId="0" fontId="46" fillId="6" borderId="0" xfId="0" applyFont="1" applyFill="1" applyAlignment="1" applyProtection="1">
      <alignment horizontal="center"/>
      <protection hidden="1"/>
    </xf>
    <xf numFmtId="0" fontId="21" fillId="6" borderId="6" xfId="0" applyFont="1" applyFill="1" applyBorder="1" applyAlignment="1" applyProtection="1">
      <alignment horizontal="center"/>
      <protection hidden="1"/>
    </xf>
    <xf numFmtId="0" fontId="21" fillId="6" borderId="7" xfId="0" applyFont="1" applyFill="1" applyBorder="1" applyAlignment="1" applyProtection="1">
      <alignment horizontal="center"/>
      <protection hidden="1"/>
    </xf>
    <xf numFmtId="0" fontId="39" fillId="0" borderId="0" xfId="0" applyFont="1" applyAlignment="1" applyProtection="1">
      <alignment horizontal="center"/>
      <protection hidden="1"/>
    </xf>
    <xf numFmtId="0" fontId="60" fillId="6" borderId="0" xfId="0" applyFont="1" applyFill="1" applyAlignment="1" applyProtection="1">
      <alignment horizontal="center"/>
      <protection hidden="1"/>
    </xf>
    <xf numFmtId="0" fontId="12" fillId="6" borderId="0" xfId="0" applyFont="1" applyFill="1" applyAlignment="1" applyProtection="1">
      <alignment horizontal="center" wrapText="1"/>
      <protection hidden="1"/>
    </xf>
    <xf numFmtId="166" fontId="12" fillId="0" borderId="78" xfId="0" applyNumberFormat="1" applyFont="1" applyBorder="1" applyAlignment="1">
      <alignment horizontal="left" vertical="top" wrapText="1"/>
    </xf>
    <xf numFmtId="166" fontId="12" fillId="0" borderId="14" xfId="0" applyNumberFormat="1" applyFont="1" applyBorder="1" applyAlignment="1">
      <alignment horizontal="left" vertical="top" wrapText="1"/>
    </xf>
    <xf numFmtId="166" fontId="12" fillId="0" borderId="50" xfId="0" applyNumberFormat="1" applyFont="1" applyBorder="1" applyAlignment="1">
      <alignment horizontal="left" vertical="top" wrapText="1"/>
    </xf>
    <xf numFmtId="166" fontId="12" fillId="0" borderId="11" xfId="0" applyNumberFormat="1" applyFont="1" applyBorder="1" applyAlignment="1">
      <alignment horizontal="left" vertical="top" wrapText="1"/>
    </xf>
    <xf numFmtId="166" fontId="12" fillId="0" borderId="0" xfId="0" applyNumberFormat="1" applyFont="1" applyAlignment="1">
      <alignment horizontal="left" vertical="top" wrapText="1"/>
    </xf>
    <xf numFmtId="166" fontId="12" fillId="0" borderId="91" xfId="0" applyNumberFormat="1" applyFont="1" applyBorder="1" applyAlignment="1">
      <alignment horizontal="left" vertical="top" wrapText="1"/>
    </xf>
    <xf numFmtId="166" fontId="12" fillId="0" borderId="9" xfId="0" applyNumberFormat="1" applyFont="1" applyBorder="1" applyAlignment="1">
      <alignment horizontal="left" vertical="top" wrapText="1"/>
    </xf>
    <xf numFmtId="166" fontId="12" fillId="0" borderId="13" xfId="0" applyNumberFormat="1" applyFont="1" applyBorder="1" applyAlignment="1">
      <alignment horizontal="left" vertical="top" wrapText="1"/>
    </xf>
    <xf numFmtId="166" fontId="12" fillId="0" borderId="92" xfId="0" applyNumberFormat="1" applyFont="1" applyBorder="1" applyAlignment="1">
      <alignment horizontal="left" vertical="top" wrapText="1"/>
    </xf>
    <xf numFmtId="0" fontId="36" fillId="0" borderId="0" xfId="0" applyFont="1" applyAlignment="1">
      <alignment horizontal="center" wrapText="1"/>
    </xf>
    <xf numFmtId="166" fontId="12" fillId="0" borderId="14" xfId="0" applyNumberFormat="1" applyFont="1" applyBorder="1" applyAlignment="1">
      <alignment horizontal="right" vertical="center" wrapText="1"/>
    </xf>
    <xf numFmtId="166" fontId="12" fillId="0" borderId="50" xfId="0" applyNumberFormat="1" applyFont="1" applyBorder="1" applyAlignment="1">
      <alignment horizontal="right" vertical="center" wrapText="1"/>
    </xf>
    <xf numFmtId="166" fontId="12" fillId="0" borderId="0" xfId="0" applyNumberFormat="1" applyFont="1" applyAlignment="1">
      <alignment horizontal="right" vertical="center" wrapText="1"/>
    </xf>
    <xf numFmtId="166" fontId="12" fillId="0" borderId="91" xfId="0" applyNumberFormat="1" applyFont="1" applyBorder="1" applyAlignment="1">
      <alignment horizontal="right" vertical="center" wrapText="1"/>
    </xf>
    <xf numFmtId="166" fontId="12" fillId="0" borderId="13" xfId="0" applyNumberFormat="1" applyFont="1" applyBorder="1" applyAlignment="1">
      <alignment horizontal="right" vertical="center" wrapText="1"/>
    </xf>
    <xf numFmtId="166" fontId="12" fillId="0" borderId="92" xfId="0" applyNumberFormat="1" applyFont="1" applyBorder="1" applyAlignment="1">
      <alignment horizontal="right" vertical="center" wrapText="1"/>
    </xf>
    <xf numFmtId="0" fontId="12" fillId="0" borderId="18" xfId="0" applyFont="1" applyBorder="1" applyAlignment="1">
      <alignment horizontal="center"/>
    </xf>
    <xf numFmtId="0" fontId="12" fillId="0" borderId="2" xfId="0" applyFont="1" applyBorder="1" applyAlignment="1">
      <alignment horizontal="center"/>
    </xf>
    <xf numFmtId="0" fontId="36" fillId="0" borderId="40" xfId="0" applyFont="1" applyBorder="1" applyAlignment="1" applyProtection="1">
      <alignment horizontal="left" vertical="top" wrapText="1"/>
      <protection locked="0"/>
    </xf>
    <xf numFmtId="0" fontId="36" fillId="0" borderId="26" xfId="0" applyFont="1" applyBorder="1" applyAlignment="1" applyProtection="1">
      <alignment horizontal="left" vertical="top" wrapText="1"/>
      <protection locked="0"/>
    </xf>
    <xf numFmtId="0" fontId="0" fillId="0" borderId="26" xfId="0" applyBorder="1" applyAlignment="1" applyProtection="1">
      <alignment wrapText="1"/>
      <protection locked="0"/>
    </xf>
    <xf numFmtId="0" fontId="0" fillId="0" borderId="27" xfId="0" applyBorder="1" applyAlignment="1" applyProtection="1">
      <alignment wrapText="1"/>
      <protection locked="0"/>
    </xf>
    <xf numFmtId="0" fontId="36" fillId="0" borderId="28" xfId="0" applyFont="1" applyBorder="1" applyAlignment="1" applyProtection="1">
      <alignment horizontal="left" vertical="top" wrapText="1"/>
      <protection locked="0"/>
    </xf>
    <xf numFmtId="0" fontId="36" fillId="0" borderId="0" xfId="0" applyFont="1" applyAlignment="1" applyProtection="1">
      <alignment horizontal="left" vertical="top" wrapText="1"/>
      <protection locked="0"/>
    </xf>
    <xf numFmtId="0" fontId="0" fillId="0" borderId="0" xfId="0" applyAlignment="1" applyProtection="1">
      <alignment wrapText="1"/>
      <protection locked="0"/>
    </xf>
    <xf numFmtId="0" fontId="0" fillId="0" borderId="17" xfId="0" applyBorder="1" applyAlignment="1" applyProtection="1">
      <alignment wrapText="1"/>
      <protection locked="0"/>
    </xf>
    <xf numFmtId="0" fontId="36" fillId="0" borderId="30" xfId="0" applyFont="1" applyBorder="1" applyAlignment="1" applyProtection="1">
      <alignment horizontal="left" vertical="top" wrapText="1"/>
      <protection locked="0"/>
    </xf>
    <xf numFmtId="0" fontId="36" fillId="0" borderId="2" xfId="0" applyFont="1" applyBorder="1" applyAlignment="1" applyProtection="1">
      <alignment horizontal="left" vertical="top" wrapText="1"/>
      <protection locked="0"/>
    </xf>
    <xf numFmtId="0" fontId="0" fillId="0" borderId="2" xfId="0" applyBorder="1" applyAlignment="1" applyProtection="1">
      <alignment wrapText="1"/>
      <protection locked="0"/>
    </xf>
    <xf numFmtId="0" fontId="0" fillId="0" borderId="29" xfId="0" applyBorder="1" applyAlignment="1" applyProtection="1">
      <alignment wrapText="1"/>
      <protection locked="0"/>
    </xf>
    <xf numFmtId="0" fontId="9" fillId="11" borderId="3" xfId="0" applyFont="1" applyFill="1" applyBorder="1" applyAlignment="1" applyProtection="1">
      <alignment horizontal="center"/>
      <protection locked="0"/>
    </xf>
    <xf numFmtId="167" fontId="9" fillId="11" borderId="3" xfId="0" applyNumberFormat="1" applyFont="1" applyFill="1" applyBorder="1" applyProtection="1">
      <protection locked="0"/>
    </xf>
    <xf numFmtId="166" fontId="36" fillId="0" borderId="0" xfId="0" applyNumberFormat="1" applyFont="1" applyAlignment="1">
      <alignment wrapText="1"/>
    </xf>
    <xf numFmtId="166" fontId="0" fillId="0" borderId="0" xfId="0" applyNumberFormat="1" applyAlignment="1">
      <alignment horizontal="right"/>
    </xf>
    <xf numFmtId="166" fontId="0" fillId="0" borderId="17" xfId="0" applyNumberFormat="1" applyBorder="1" applyAlignment="1">
      <alignment horizontal="right"/>
    </xf>
    <xf numFmtId="166" fontId="15" fillId="0" borderId="2" xfId="0" applyNumberFormat="1" applyFont="1" applyBorder="1" applyAlignment="1">
      <alignment horizontal="center"/>
    </xf>
    <xf numFmtId="0" fontId="36" fillId="0" borderId="27" xfId="0" applyFont="1" applyBorder="1" applyAlignment="1" applyProtection="1">
      <alignment horizontal="left" vertical="top" wrapText="1"/>
      <protection locked="0"/>
    </xf>
    <xf numFmtId="0" fontId="36" fillId="0" borderId="17" xfId="0" applyFont="1" applyBorder="1" applyAlignment="1" applyProtection="1">
      <alignment horizontal="left" vertical="top" wrapText="1"/>
      <protection locked="0"/>
    </xf>
    <xf numFmtId="0" fontId="36" fillId="0" borderId="29" xfId="0" applyFont="1" applyBorder="1" applyAlignment="1" applyProtection="1">
      <alignment horizontal="left" vertical="top" wrapText="1"/>
      <protection locked="0"/>
    </xf>
    <xf numFmtId="167" fontId="83" fillId="0" borderId="3" xfId="0" applyNumberFormat="1" applyFont="1" applyBorder="1"/>
    <xf numFmtId="2" fontId="107" fillId="15" borderId="0" xfId="0" applyNumberFormat="1" applyFont="1" applyFill="1" applyAlignment="1">
      <alignment horizontal="left" vertical="center" wrapText="1"/>
    </xf>
    <xf numFmtId="0" fontId="44" fillId="0" borderId="0" xfId="0" applyFont="1" applyAlignment="1">
      <alignment vertical="center" wrapText="1"/>
    </xf>
    <xf numFmtId="2" fontId="83" fillId="0" borderId="0" xfId="0" applyNumberFormat="1" applyFont="1" applyAlignment="1">
      <alignment horizontal="left" vertical="center" wrapText="1"/>
    </xf>
    <xf numFmtId="1" fontId="0" fillId="0" borderId="2" xfId="0" applyNumberFormat="1" applyBorder="1" applyAlignment="1">
      <alignment horizontal="center"/>
    </xf>
    <xf numFmtId="0" fontId="0" fillId="0" borderId="0" xfId="0" applyAlignment="1">
      <alignment horizontal="right"/>
    </xf>
    <xf numFmtId="0" fontId="0" fillId="0" borderId="17" xfId="0" applyBorder="1" applyAlignment="1">
      <alignment horizontal="right"/>
    </xf>
    <xf numFmtId="166" fontId="9" fillId="0" borderId="0" xfId="0" applyNumberFormat="1" applyFont="1" applyAlignment="1">
      <alignment horizontal="right"/>
    </xf>
    <xf numFmtId="166" fontId="9" fillId="0" borderId="17" xfId="0" applyNumberFormat="1" applyFont="1" applyBorder="1" applyAlignment="1">
      <alignment horizontal="right"/>
    </xf>
    <xf numFmtId="167" fontId="9" fillId="0" borderId="0" xfId="0" applyNumberFormat="1" applyFont="1" applyAlignment="1">
      <alignment horizontal="right"/>
    </xf>
    <xf numFmtId="167" fontId="9" fillId="0" borderId="17" xfId="0" applyNumberFormat="1" applyFont="1" applyBorder="1" applyAlignment="1">
      <alignment horizontal="right"/>
    </xf>
    <xf numFmtId="0" fontId="0" fillId="2" borderId="0" xfId="0" applyFill="1"/>
    <xf numFmtId="167" fontId="9" fillId="11" borderId="59" xfId="0" applyNumberFormat="1" applyFont="1" applyFill="1" applyBorder="1" applyProtection="1">
      <protection locked="0"/>
    </xf>
    <xf numFmtId="167" fontId="9" fillId="11" borderId="60" xfId="0" applyNumberFormat="1" applyFont="1" applyFill="1" applyBorder="1" applyProtection="1">
      <protection locked="0"/>
    </xf>
    <xf numFmtId="0" fontId="107" fillId="15" borderId="0" xfId="0" applyFont="1" applyFill="1" applyAlignment="1">
      <alignment horizontal="left" vertical="top" wrapText="1"/>
    </xf>
    <xf numFmtId="0" fontId="27" fillId="0" borderId="0" xfId="0" applyFont="1" applyAlignment="1">
      <alignment horizontal="center"/>
    </xf>
    <xf numFmtId="0" fontId="23" fillId="0" borderId="0" xfId="0" applyFont="1" applyAlignment="1">
      <alignment horizontal="left"/>
    </xf>
    <xf numFmtId="0" fontId="27" fillId="0" borderId="26" xfId="0" applyFont="1" applyBorder="1" applyAlignment="1">
      <alignment horizontal="center"/>
    </xf>
    <xf numFmtId="0" fontId="36" fillId="0" borderId="0" xfId="0" applyFont="1" applyAlignment="1" applyProtection="1">
      <alignment horizontal="left" wrapText="1"/>
      <protection locked="0"/>
    </xf>
    <xf numFmtId="0" fontId="9" fillId="2" borderId="0" xfId="0" applyFont="1" applyFill="1" applyAlignment="1" applyProtection="1">
      <alignment horizontal="left" vertical="top" wrapText="1"/>
      <protection hidden="1"/>
    </xf>
    <xf numFmtId="0" fontId="9" fillId="2" borderId="17" xfId="0" applyFont="1" applyFill="1" applyBorder="1" applyAlignment="1" applyProtection="1">
      <alignment horizontal="right" wrapText="1"/>
      <protection hidden="1"/>
    </xf>
    <xf numFmtId="0" fontId="12" fillId="17" borderId="0" xfId="0" applyFont="1" applyFill="1" applyAlignment="1">
      <alignment vertical="center"/>
    </xf>
    <xf numFmtId="0" fontId="0" fillId="0" borderId="2" xfId="0" applyBorder="1" applyAlignment="1">
      <alignment horizontal="center"/>
    </xf>
    <xf numFmtId="0" fontId="36" fillId="0" borderId="0" xfId="0" applyFont="1" applyAlignment="1">
      <alignment vertical="top" wrapText="1"/>
    </xf>
    <xf numFmtId="0" fontId="36" fillId="0" borderId="0" xfId="0" applyFont="1" applyAlignment="1" applyProtection="1">
      <alignment wrapText="1"/>
      <protection locked="0"/>
    </xf>
    <xf numFmtId="0" fontId="30" fillId="0" borderId="40" xfId="0" applyFont="1" applyBorder="1" applyAlignment="1">
      <alignment horizontal="left" vertical="center" wrapText="1"/>
    </xf>
    <xf numFmtId="0" fontId="30" fillId="0" borderId="26" xfId="0" applyFont="1" applyBorder="1" applyAlignment="1">
      <alignment horizontal="left" vertical="center" wrapText="1"/>
    </xf>
    <xf numFmtId="0" fontId="30" fillId="0" borderId="27" xfId="0" applyFont="1" applyBorder="1" applyAlignment="1">
      <alignment horizontal="left" vertical="center" wrapText="1"/>
    </xf>
    <xf numFmtId="0" fontId="30" fillId="0" borderId="28" xfId="0" applyFont="1" applyBorder="1" applyAlignment="1">
      <alignment horizontal="left" vertical="center" wrapText="1"/>
    </xf>
    <xf numFmtId="0" fontId="30" fillId="0" borderId="0" xfId="0" applyFont="1" applyAlignment="1">
      <alignment horizontal="left" vertical="center" wrapText="1"/>
    </xf>
    <xf numFmtId="0" fontId="30" fillId="0" borderId="17" xfId="0" applyFont="1" applyBorder="1" applyAlignment="1">
      <alignment horizontal="left" vertical="center" wrapText="1"/>
    </xf>
    <xf numFmtId="0" fontId="30" fillId="0" borderId="30" xfId="0" applyFont="1" applyBorder="1" applyAlignment="1">
      <alignment horizontal="left" vertical="center" wrapText="1"/>
    </xf>
    <xf numFmtId="0" fontId="30" fillId="0" borderId="2" xfId="0" applyFont="1" applyBorder="1" applyAlignment="1">
      <alignment horizontal="left" vertical="center" wrapText="1"/>
    </xf>
    <xf numFmtId="0" fontId="30" fillId="0" borderId="29" xfId="0" applyFont="1" applyBorder="1" applyAlignment="1">
      <alignment horizontal="left" vertical="center" wrapText="1"/>
    </xf>
    <xf numFmtId="166" fontId="36" fillId="0" borderId="0" xfId="0" applyNumberFormat="1" applyFont="1" applyAlignment="1">
      <alignment horizontal="left" vertical="top" wrapText="1"/>
    </xf>
    <xf numFmtId="0" fontId="9" fillId="2" borderId="0" xfId="0" applyFont="1" applyFill="1" applyAlignment="1">
      <alignment horizontal="left" wrapText="1"/>
    </xf>
    <xf numFmtId="0" fontId="83" fillId="2" borderId="0" xfId="2" applyFont="1" applyFill="1" applyAlignment="1" applyProtection="1">
      <alignment horizontal="left" vertical="center" wrapText="1"/>
    </xf>
    <xf numFmtId="0" fontId="12" fillId="0" borderId="0" xfId="0" applyFont="1" applyAlignment="1">
      <alignment horizontal="right" wrapText="1"/>
    </xf>
    <xf numFmtId="4" fontId="9" fillId="0" borderId="0" xfId="0" applyNumberFormat="1" applyFont="1" applyAlignment="1">
      <alignment horizontal="left" vertical="top"/>
    </xf>
    <xf numFmtId="4" fontId="0" fillId="0" borderId="0" xfId="0" applyNumberFormat="1" applyAlignment="1">
      <alignment horizontal="left" vertical="top"/>
    </xf>
    <xf numFmtId="167" fontId="9" fillId="0" borderId="0" xfId="0" applyNumberFormat="1" applyFont="1" applyAlignment="1">
      <alignment horizontal="center" vertical="center"/>
    </xf>
    <xf numFmtId="167" fontId="0" fillId="0" borderId="0" xfId="0" applyNumberFormat="1" applyAlignment="1">
      <alignment horizontal="center" vertical="center"/>
    </xf>
    <xf numFmtId="3" fontId="9" fillId="0" borderId="2" xfId="0" applyNumberFormat="1" applyFont="1" applyBorder="1" applyAlignment="1">
      <alignment horizontal="center"/>
    </xf>
    <xf numFmtId="3" fontId="0" fillId="0" borderId="2" xfId="0" applyNumberFormat="1" applyBorder="1" applyAlignment="1">
      <alignment horizontal="center"/>
    </xf>
    <xf numFmtId="3" fontId="0" fillId="0" borderId="0" xfId="0" applyNumberFormat="1" applyAlignment="1">
      <alignment horizontal="center"/>
    </xf>
    <xf numFmtId="168" fontId="12" fillId="0" borderId="59" xfId="0" applyNumberFormat="1" applyFont="1" applyBorder="1" applyAlignment="1">
      <alignment horizontal="center"/>
    </xf>
    <xf numFmtId="168" fontId="12" fillId="0" borderId="60" xfId="0" applyNumberFormat="1" applyFont="1" applyBorder="1" applyAlignment="1">
      <alignment horizontal="center"/>
    </xf>
    <xf numFmtId="0" fontId="0" fillId="0" borderId="0" xfId="0" applyAlignment="1">
      <alignment horizontal="center"/>
    </xf>
    <xf numFmtId="0" fontId="30" fillId="2" borderId="91" xfId="0" applyFont="1" applyFill="1" applyBorder="1" applyAlignment="1">
      <alignment horizontal="center" wrapText="1"/>
    </xf>
    <xf numFmtId="0" fontId="30" fillId="2" borderId="78" xfId="0" applyFont="1" applyFill="1" applyBorder="1" applyAlignment="1">
      <alignment horizontal="left" wrapText="1"/>
    </xf>
    <xf numFmtId="0" fontId="30" fillId="2" borderId="14" xfId="0" applyFont="1" applyFill="1" applyBorder="1" applyAlignment="1">
      <alignment horizontal="left" wrapText="1"/>
    </xf>
    <xf numFmtId="0" fontId="30" fillId="2" borderId="50" xfId="0" applyFont="1" applyFill="1" applyBorder="1" applyAlignment="1">
      <alignment horizontal="left" wrapText="1"/>
    </xf>
    <xf numFmtId="0" fontId="30" fillId="2" borderId="9" xfId="0" applyFont="1" applyFill="1" applyBorder="1" applyAlignment="1">
      <alignment horizontal="left" wrapText="1"/>
    </xf>
    <xf numFmtId="0" fontId="30" fillId="2" borderId="13" xfId="0" applyFont="1" applyFill="1" applyBorder="1" applyAlignment="1">
      <alignment horizontal="left" wrapText="1"/>
    </xf>
    <xf numFmtId="0" fontId="30" fillId="2" borderId="92" xfId="0" applyFont="1" applyFill="1" applyBorder="1" applyAlignment="1">
      <alignment horizontal="left" wrapText="1"/>
    </xf>
    <xf numFmtId="0" fontId="23" fillId="2" borderId="59" xfId="0" applyFont="1" applyFill="1" applyBorder="1" applyAlignment="1">
      <alignment horizontal="left"/>
    </xf>
    <xf numFmtId="0" fontId="23" fillId="2" borderId="1" xfId="0" applyFont="1" applyFill="1" applyBorder="1" applyAlignment="1">
      <alignment horizontal="left"/>
    </xf>
    <xf numFmtId="0" fontId="23" fillId="2" borderId="60" xfId="0" applyFont="1" applyFill="1" applyBorder="1" applyAlignment="1">
      <alignment horizontal="left"/>
    </xf>
    <xf numFmtId="0" fontId="14" fillId="3" borderId="0" xfId="0" applyFont="1" applyFill="1" applyAlignment="1">
      <alignment horizontal="center"/>
    </xf>
    <xf numFmtId="0" fontId="36" fillId="2" borderId="0" xfId="0" applyFont="1" applyFill="1" applyAlignment="1">
      <alignment horizontal="left" vertical="top" wrapText="1"/>
    </xf>
    <xf numFmtId="169" fontId="90" fillId="0" borderId="0" xfId="11" applyNumberFormat="1" applyFont="1" applyAlignment="1">
      <alignment horizontal="center" vertical="center"/>
    </xf>
    <xf numFmtId="0" fontId="0" fillId="2" borderId="0" xfId="0" applyFill="1" applyAlignment="1" applyProtection="1">
      <alignment horizontal="left" wrapText="1"/>
      <protection hidden="1"/>
    </xf>
    <xf numFmtId="0" fontId="18" fillId="2" borderId="0" xfId="0" applyFont="1" applyFill="1" applyAlignment="1" applyProtection="1">
      <alignment horizontal="left" wrapText="1"/>
      <protection hidden="1"/>
    </xf>
    <xf numFmtId="0" fontId="97" fillId="0" borderId="0" xfId="0" applyFont="1" applyAlignment="1">
      <alignment horizontal="left" wrapText="1"/>
    </xf>
    <xf numFmtId="0" fontId="83" fillId="2" borderId="0" xfId="0" applyFont="1" applyFill="1" applyAlignment="1" applyProtection="1">
      <alignment horizontal="left"/>
      <protection hidden="1"/>
    </xf>
    <xf numFmtId="0" fontId="9" fillId="6" borderId="0" xfId="0" applyFont="1" applyFill="1" applyAlignment="1">
      <alignment horizontal="right" vertical="center" wrapText="1"/>
    </xf>
    <xf numFmtId="0" fontId="9" fillId="12" borderId="0" xfId="0" applyFont="1" applyFill="1" applyAlignment="1" applyProtection="1">
      <alignment horizontal="left" wrapText="1"/>
      <protection hidden="1"/>
    </xf>
    <xf numFmtId="0" fontId="11" fillId="2" borderId="0" xfId="0" applyFont="1" applyFill="1" applyAlignment="1" applyProtection="1">
      <alignment horizontal="right" wrapText="1"/>
      <protection hidden="1"/>
    </xf>
    <xf numFmtId="0" fontId="9" fillId="2" borderId="0" xfId="0" applyFont="1" applyFill="1" applyAlignment="1">
      <alignment horizontal="left" vertical="top" wrapText="1"/>
    </xf>
    <xf numFmtId="0" fontId="36" fillId="2" borderId="0" xfId="0" applyFont="1" applyFill="1" applyAlignment="1" applyProtection="1">
      <alignment wrapText="1"/>
      <protection hidden="1"/>
    </xf>
    <xf numFmtId="0" fontId="81" fillId="2" borderId="0" xfId="0" quotePrefix="1" applyFont="1" applyFill="1" applyAlignment="1" applyProtection="1">
      <alignment horizontal="right" vertical="center" wrapText="1"/>
      <protection hidden="1"/>
    </xf>
    <xf numFmtId="0" fontId="11" fillId="2" borderId="26" xfId="0" applyFont="1" applyFill="1" applyBorder="1" applyAlignment="1" applyProtection="1">
      <alignment horizontal="left" wrapText="1"/>
      <protection hidden="1"/>
    </xf>
    <xf numFmtId="0" fontId="11" fillId="2" borderId="0" xfId="0" applyFont="1" applyFill="1" applyAlignment="1" applyProtection="1">
      <alignment horizontal="left" wrapText="1"/>
      <protection hidden="1"/>
    </xf>
    <xf numFmtId="0" fontId="118" fillId="2" borderId="0" xfId="0" applyFont="1" applyFill="1" applyAlignment="1">
      <alignment horizontal="left" vertical="top" wrapText="1"/>
    </xf>
    <xf numFmtId="0" fontId="61" fillId="2" borderId="0" xfId="0" applyFont="1" applyFill="1" applyAlignment="1" applyProtection="1">
      <alignment horizontal="left" vertical="top" wrapText="1"/>
      <protection hidden="1"/>
    </xf>
    <xf numFmtId="0" fontId="9" fillId="2" borderId="39" xfId="0" applyFont="1" applyFill="1" applyBorder="1" applyAlignment="1" applyProtection="1">
      <alignment horizontal="left" vertical="top" wrapText="1"/>
      <protection hidden="1"/>
    </xf>
    <xf numFmtId="0" fontId="30" fillId="0" borderId="78" xfId="0" applyFont="1" applyBorder="1" applyAlignment="1">
      <alignment horizontal="left" vertical="top" wrapText="1"/>
    </xf>
    <xf numFmtId="0" fontId="30" fillId="0" borderId="14" xfId="0" applyFont="1" applyBorder="1" applyAlignment="1">
      <alignment horizontal="left" vertical="top" wrapText="1"/>
    </xf>
    <xf numFmtId="0" fontId="30" fillId="0" borderId="50" xfId="0" applyFont="1" applyBorder="1" applyAlignment="1">
      <alignment horizontal="left" vertical="top" wrapText="1"/>
    </xf>
    <xf numFmtId="0" fontId="30" fillId="0" borderId="11" xfId="0" applyFont="1" applyBorder="1" applyAlignment="1">
      <alignment horizontal="left" vertical="top" wrapText="1"/>
    </xf>
    <xf numFmtId="0" fontId="30" fillId="0" borderId="0" xfId="0" applyFont="1" applyAlignment="1">
      <alignment horizontal="left" vertical="top" wrapText="1"/>
    </xf>
    <xf numFmtId="0" fontId="30" fillId="0" borderId="91" xfId="0" applyFont="1" applyBorder="1" applyAlignment="1">
      <alignment horizontal="left" vertical="top" wrapText="1"/>
    </xf>
    <xf numFmtId="0" fontId="30" fillId="0" borderId="9" xfId="0" applyFont="1" applyBorder="1" applyAlignment="1">
      <alignment horizontal="left" vertical="top" wrapText="1"/>
    </xf>
    <xf numFmtId="0" fontId="30" fillId="0" borderId="13" xfId="0" applyFont="1" applyBorder="1" applyAlignment="1">
      <alignment horizontal="left" vertical="top" wrapText="1"/>
    </xf>
    <xf numFmtId="0" fontId="30" fillId="0" borderId="92" xfId="0" applyFont="1" applyBorder="1" applyAlignment="1">
      <alignment horizontal="left" vertical="top" wrapText="1"/>
    </xf>
    <xf numFmtId="0" fontId="30" fillId="2" borderId="0" xfId="0" applyFont="1" applyFill="1" applyAlignment="1" applyProtection="1">
      <alignment horizontal="right" wrapText="1"/>
      <protection hidden="1"/>
    </xf>
    <xf numFmtId="0" fontId="30" fillId="0" borderId="78" xfId="0" applyFont="1" applyBorder="1" applyAlignment="1">
      <alignment horizontal="left" wrapText="1"/>
    </xf>
    <xf numFmtId="0" fontId="30" fillId="0" borderId="14" xfId="0" applyFont="1" applyBorder="1" applyAlignment="1">
      <alignment horizontal="left" wrapText="1"/>
    </xf>
    <xf numFmtId="0" fontId="30" fillId="0" borderId="50" xfId="0" applyFont="1" applyBorder="1" applyAlignment="1">
      <alignment horizontal="left" wrapText="1"/>
    </xf>
    <xf numFmtId="0" fontId="30" fillId="0" borderId="9" xfId="0" applyFont="1" applyBorder="1" applyAlignment="1">
      <alignment horizontal="left" wrapText="1"/>
    </xf>
    <xf numFmtId="0" fontId="30" fillId="0" borderId="13" xfId="0" applyFont="1" applyBorder="1" applyAlignment="1">
      <alignment horizontal="left" wrapText="1"/>
    </xf>
    <xf numFmtId="0" fontId="30" fillId="0" borderId="92" xfId="0" applyFont="1" applyBorder="1" applyAlignment="1">
      <alignment horizontal="left" wrapText="1"/>
    </xf>
    <xf numFmtId="0" fontId="30" fillId="0" borderId="78" xfId="0" applyFont="1" applyBorder="1" applyAlignment="1">
      <alignment horizontal="left" vertical="center" wrapText="1"/>
    </xf>
    <xf numFmtId="0" fontId="30" fillId="0" borderId="14" xfId="0" applyFont="1" applyBorder="1" applyAlignment="1">
      <alignment horizontal="left" vertical="center" wrapText="1"/>
    </xf>
    <xf numFmtId="0" fontId="30" fillId="0" borderId="50" xfId="0" applyFont="1" applyBorder="1" applyAlignment="1">
      <alignment horizontal="left" vertical="center" wrapText="1"/>
    </xf>
    <xf numFmtId="0" fontId="30" fillId="0" borderId="9" xfId="0" applyFont="1" applyBorder="1" applyAlignment="1">
      <alignment horizontal="left" vertical="center" wrapText="1"/>
    </xf>
    <xf numFmtId="0" fontId="30" fillId="0" borderId="13" xfId="0" applyFont="1" applyBorder="1" applyAlignment="1">
      <alignment horizontal="left" vertical="center" wrapText="1"/>
    </xf>
    <xf numFmtId="0" fontId="30" fillId="0" borderId="92" xfId="0" applyFont="1" applyBorder="1" applyAlignment="1">
      <alignment horizontal="left" vertical="center" wrapText="1"/>
    </xf>
    <xf numFmtId="0" fontId="12" fillId="10" borderId="94" xfId="6" applyFont="1" applyFill="1" applyBorder="1" applyAlignment="1">
      <alignment horizontal="center" vertical="center"/>
    </xf>
    <xf numFmtId="0" fontId="12" fillId="10" borderId="95" xfId="6" applyFont="1" applyFill="1" applyBorder="1" applyAlignment="1">
      <alignment horizontal="center" vertical="center"/>
    </xf>
    <xf numFmtId="0" fontId="12" fillId="0" borderId="93" xfId="6" applyFont="1" applyBorder="1" applyAlignment="1">
      <alignment horizontal="center" vertical="center"/>
    </xf>
    <xf numFmtId="0" fontId="12" fillId="0" borderId="0" xfId="6" applyFont="1" applyAlignment="1">
      <alignment horizontal="left"/>
    </xf>
    <xf numFmtId="0" fontId="12" fillId="0" borderId="35" xfId="6" applyFont="1" applyBorder="1" applyAlignment="1">
      <alignment horizontal="center" vertical="center"/>
    </xf>
    <xf numFmtId="0" fontId="12" fillId="0" borderId="37" xfId="6" applyFont="1" applyBorder="1" applyAlignment="1">
      <alignment horizontal="center" vertical="center"/>
    </xf>
    <xf numFmtId="0" fontId="72" fillId="0" borderId="0" xfId="6" applyFont="1" applyAlignment="1">
      <alignment horizontal="center" vertical="center"/>
    </xf>
    <xf numFmtId="0" fontId="12" fillId="0" borderId="0" xfId="6" applyFont="1" applyAlignment="1">
      <alignment horizontal="center"/>
    </xf>
    <xf numFmtId="0" fontId="12" fillId="0" borderId="97" xfId="6" applyFont="1" applyBorder="1" applyAlignment="1">
      <alignment horizontal="center" vertical="center"/>
    </xf>
    <xf numFmtId="0" fontId="12" fillId="0" borderId="98" xfId="6" applyFont="1" applyBorder="1" applyAlignment="1">
      <alignment horizontal="center" vertical="center"/>
    </xf>
    <xf numFmtId="0" fontId="12" fillId="10" borderId="35" xfId="6" applyFont="1" applyFill="1" applyBorder="1" applyAlignment="1">
      <alignment horizontal="center" vertical="center"/>
    </xf>
    <xf numFmtId="0" fontId="12" fillId="10" borderId="37" xfId="6" applyFont="1" applyFill="1" applyBorder="1" applyAlignment="1">
      <alignment horizontal="center" vertical="center"/>
    </xf>
    <xf numFmtId="0" fontId="12" fillId="10" borderId="35" xfId="19" applyFont="1" applyFill="1" applyBorder="1" applyAlignment="1">
      <alignment horizontal="center" vertical="center"/>
    </xf>
    <xf numFmtId="0" fontId="12" fillId="10" borderId="37" xfId="19" applyFont="1" applyFill="1" applyBorder="1" applyAlignment="1">
      <alignment horizontal="center" vertical="center"/>
    </xf>
    <xf numFmtId="0" fontId="12" fillId="0" borderId="15" xfId="6" applyFont="1" applyBorder="1" applyAlignment="1">
      <alignment horizontal="center"/>
    </xf>
    <xf numFmtId="0" fontId="12" fillId="0" borderId="6" xfId="6" applyFont="1" applyBorder="1" applyAlignment="1">
      <alignment horizontal="center"/>
    </xf>
    <xf numFmtId="0" fontId="46" fillId="0" borderId="0" xfId="6" applyFont="1" applyAlignment="1">
      <alignment horizontal="left"/>
    </xf>
    <xf numFmtId="0" fontId="12" fillId="0" borderId="97" xfId="19" applyFont="1" applyBorder="1" applyAlignment="1">
      <alignment horizontal="center" vertical="center"/>
    </xf>
    <xf numFmtId="0" fontId="12" fillId="0" borderId="98" xfId="19" applyFont="1" applyBorder="1" applyAlignment="1">
      <alignment horizontal="center" vertical="center"/>
    </xf>
    <xf numFmtId="0" fontId="12" fillId="0" borderId="7" xfId="6" applyFont="1" applyBorder="1" applyAlignment="1">
      <alignment horizontal="center"/>
    </xf>
    <xf numFmtId="0" fontId="9" fillId="0" borderId="0" xfId="6" applyFont="1" applyAlignment="1">
      <alignment horizontal="left" wrapText="1"/>
    </xf>
    <xf numFmtId="0" fontId="12" fillId="0" borderId="96" xfId="6" applyFont="1" applyBorder="1" applyAlignment="1">
      <alignment horizontal="center" vertical="center"/>
    </xf>
    <xf numFmtId="0" fontId="12" fillId="0" borderId="6" xfId="6" applyFont="1" applyBorder="1" applyAlignment="1">
      <alignment horizontal="left"/>
    </xf>
    <xf numFmtId="0" fontId="9" fillId="0" borderId="0" xfId="6" applyFont="1" applyAlignment="1">
      <alignment horizontal="left"/>
    </xf>
    <xf numFmtId="0" fontId="12" fillId="0" borderId="52" xfId="6" applyFont="1" applyBorder="1" applyAlignment="1">
      <alignment horizontal="left"/>
    </xf>
    <xf numFmtId="0" fontId="66" fillId="0" borderId="0" xfId="6" applyFont="1" applyAlignment="1">
      <alignment horizontal="left" vertical="center"/>
    </xf>
    <xf numFmtId="0" fontId="16" fillId="0" borderId="0" xfId="6" applyAlignment="1">
      <alignment horizontal="left"/>
    </xf>
    <xf numFmtId="0" fontId="9" fillId="2" borderId="0" xfId="6" applyFont="1" applyFill="1" applyAlignment="1" applyProtection="1">
      <alignment horizontal="right"/>
      <protection hidden="1"/>
    </xf>
    <xf numFmtId="1" fontId="30" fillId="0" borderId="59" xfId="6" applyNumberFormat="1" applyFont="1" applyBorder="1" applyAlignment="1">
      <alignment horizontal="center"/>
    </xf>
    <xf numFmtId="1" fontId="30" fillId="0" borderId="60" xfId="6" applyNumberFormat="1" applyFont="1" applyBorder="1" applyAlignment="1">
      <alignment horizontal="center"/>
    </xf>
    <xf numFmtId="0" fontId="16" fillId="0" borderId="0" xfId="6"/>
    <xf numFmtId="2" fontId="12" fillId="4" borderId="26" xfId="6" applyNumberFormat="1" applyFont="1" applyFill="1" applyBorder="1" applyAlignment="1" applyProtection="1">
      <alignment horizontal="center"/>
      <protection locked="0"/>
    </xf>
    <xf numFmtId="0" fontId="46" fillId="3" borderId="0" xfId="6" applyFont="1" applyFill="1" applyAlignment="1">
      <alignment horizontal="left"/>
    </xf>
    <xf numFmtId="0" fontId="72" fillId="0" borderId="0" xfId="6" applyFont="1" applyAlignment="1">
      <alignment horizontal="left" vertical="center"/>
    </xf>
    <xf numFmtId="0" fontId="61" fillId="2" borderId="0" xfId="0" applyFont="1" applyFill="1" applyAlignment="1" applyProtection="1">
      <alignment horizontal="left" vertical="top" wrapText="1"/>
      <protection locked="0" hidden="1"/>
    </xf>
    <xf numFmtId="0" fontId="9" fillId="4" borderId="59" xfId="6" applyFont="1" applyFill="1" applyBorder="1" applyAlignment="1" applyProtection="1">
      <alignment horizontal="left"/>
      <protection locked="0"/>
    </xf>
    <xf numFmtId="0" fontId="9" fillId="4" borderId="1" xfId="6" applyFont="1" applyFill="1" applyBorder="1" applyAlignment="1" applyProtection="1">
      <alignment horizontal="left"/>
      <protection locked="0"/>
    </xf>
    <xf numFmtId="0" fontId="9" fillId="4" borderId="60" xfId="6" applyFont="1" applyFill="1" applyBorder="1" applyAlignment="1" applyProtection="1">
      <alignment horizontal="left"/>
      <protection locked="0"/>
    </xf>
    <xf numFmtId="0" fontId="27" fillId="2" borderId="26" xfId="6" applyFont="1" applyFill="1" applyBorder="1" applyAlignment="1" applyProtection="1">
      <alignment horizontal="center"/>
      <protection hidden="1"/>
    </xf>
    <xf numFmtId="0" fontId="11" fillId="2" borderId="26" xfId="6" quotePrefix="1" applyFont="1" applyFill="1" applyBorder="1" applyAlignment="1" applyProtection="1">
      <alignment horizontal="center"/>
      <protection hidden="1"/>
    </xf>
    <xf numFmtId="168" fontId="30" fillId="0" borderId="59" xfId="6" applyNumberFormat="1" applyFont="1" applyBorder="1" applyAlignment="1">
      <alignment horizontal="center"/>
    </xf>
    <xf numFmtId="168" fontId="30" fillId="0" borderId="60" xfId="6" applyNumberFormat="1" applyFont="1" applyBorder="1" applyAlignment="1">
      <alignment horizontal="center"/>
    </xf>
    <xf numFmtId="168" fontId="16" fillId="2" borderId="2" xfId="6" applyNumberFormat="1" applyFill="1" applyBorder="1" applyAlignment="1" applyProtection="1">
      <alignment horizontal="center"/>
      <protection hidden="1"/>
    </xf>
    <xf numFmtId="168" fontId="12" fillId="2" borderId="59" xfId="6" applyNumberFormat="1" applyFont="1" applyFill="1" applyBorder="1" applyAlignment="1" applyProtection="1">
      <alignment horizontal="center"/>
      <protection hidden="1"/>
    </xf>
    <xf numFmtId="168" fontId="12" fillId="2" borderId="60" xfId="6" applyNumberFormat="1" applyFont="1" applyFill="1" applyBorder="1" applyAlignment="1" applyProtection="1">
      <alignment horizontal="center"/>
      <protection hidden="1"/>
    </xf>
    <xf numFmtId="0" fontId="11" fillId="0" borderId="0" xfId="6" applyFont="1" applyAlignment="1">
      <alignment horizontal="center"/>
    </xf>
    <xf numFmtId="0" fontId="9" fillId="4" borderId="59" xfId="6" applyFont="1" applyFill="1" applyBorder="1" applyAlignment="1" applyProtection="1">
      <alignment horizontal="center"/>
      <protection locked="0"/>
    </xf>
    <xf numFmtId="0" fontId="9" fillId="4" borderId="81" xfId="6" applyFont="1" applyFill="1" applyBorder="1" applyAlignment="1" applyProtection="1">
      <alignment horizontal="center"/>
      <protection locked="0"/>
    </xf>
    <xf numFmtId="0" fontId="9" fillId="2" borderId="0" xfId="6" applyFont="1" applyFill="1" applyAlignment="1">
      <alignment horizontal="right"/>
    </xf>
    <xf numFmtId="9" fontId="12" fillId="4" borderId="2" xfId="9" applyFont="1" applyFill="1" applyBorder="1" applyAlignment="1" applyProtection="1">
      <alignment horizontal="center"/>
      <protection locked="0" hidden="1"/>
    </xf>
    <xf numFmtId="1" fontId="12" fillId="2" borderId="2" xfId="6" applyNumberFormat="1" applyFont="1" applyFill="1" applyBorder="1" applyAlignment="1" applyProtection="1">
      <alignment horizontal="center"/>
      <protection hidden="1"/>
    </xf>
    <xf numFmtId="0" fontId="16" fillId="2" borderId="2" xfId="6" quotePrefix="1" applyFill="1" applyBorder="1" applyAlignment="1" applyProtection="1">
      <alignment horizontal="center"/>
      <protection hidden="1"/>
    </xf>
    <xf numFmtId="0" fontId="37" fillId="2" borderId="0" xfId="6" applyFont="1" applyFill="1" applyAlignment="1" applyProtection="1">
      <alignment horizontal="center"/>
      <protection hidden="1"/>
    </xf>
    <xf numFmtId="0" fontId="9" fillId="0" borderId="11" xfId="6" applyFont="1" applyBorder="1" applyAlignment="1">
      <alignment horizontal="right"/>
    </xf>
    <xf numFmtId="0" fontId="9" fillId="0" borderId="0" xfId="6" applyFont="1" applyAlignment="1">
      <alignment horizontal="right"/>
    </xf>
    <xf numFmtId="1" fontId="23" fillId="0" borderId="0" xfId="6" applyNumberFormat="1" applyFont="1" applyAlignment="1">
      <alignment horizontal="center"/>
    </xf>
    <xf numFmtId="0" fontId="23" fillId="0" borderId="0" xfId="6" applyFont="1" applyAlignment="1">
      <alignment horizontal="center"/>
    </xf>
    <xf numFmtId="3" fontId="9" fillId="0" borderId="0" xfId="6" applyNumberFormat="1" applyFont="1" applyAlignment="1">
      <alignment horizontal="left"/>
    </xf>
    <xf numFmtId="3" fontId="9" fillId="0" borderId="91" xfId="6" applyNumberFormat="1" applyFont="1" applyBorder="1" applyAlignment="1">
      <alignment horizontal="left"/>
    </xf>
    <xf numFmtId="0" fontId="9" fillId="0" borderId="9" xfId="6" applyFont="1" applyBorder="1" applyAlignment="1">
      <alignment horizontal="right"/>
    </xf>
    <xf numFmtId="0" fontId="9" fillId="0" borderId="13" xfId="6" applyFont="1" applyBorder="1" applyAlignment="1">
      <alignment horizontal="right"/>
    </xf>
    <xf numFmtId="1" fontId="23" fillId="0" borderId="13" xfId="6" applyNumberFormat="1" applyFont="1" applyBorder="1" applyAlignment="1">
      <alignment horizontal="center"/>
    </xf>
    <xf numFmtId="0" fontId="23" fillId="0" borderId="13" xfId="6" applyFont="1" applyBorder="1" applyAlignment="1">
      <alignment horizontal="center"/>
    </xf>
    <xf numFmtId="0" fontId="9" fillId="14" borderId="0" xfId="6" applyFont="1" applyFill="1" applyAlignment="1">
      <alignment horizontal="left" wrapText="1"/>
    </xf>
    <xf numFmtId="0" fontId="9" fillId="0" borderId="78" xfId="6" applyFont="1" applyBorder="1" applyAlignment="1">
      <alignment horizontal="right" wrapText="1"/>
    </xf>
    <xf numFmtId="0" fontId="9" fillId="0" borderId="14" xfId="6" applyFont="1" applyBorder="1" applyAlignment="1">
      <alignment horizontal="right" wrapText="1"/>
    </xf>
    <xf numFmtId="1" fontId="23" fillId="0" borderId="14" xfId="6" applyNumberFormat="1" applyFont="1" applyBorder="1" applyAlignment="1">
      <alignment horizontal="center" wrapText="1"/>
    </xf>
    <xf numFmtId="3" fontId="9" fillId="0" borderId="13" xfId="6" applyNumberFormat="1" applyFont="1" applyBorder="1" applyAlignment="1">
      <alignment horizontal="left"/>
    </xf>
    <xf numFmtId="3" fontId="9" fillId="0" borderId="92" xfId="6" applyNumberFormat="1" applyFont="1" applyBorder="1" applyAlignment="1">
      <alignment horizontal="left"/>
    </xf>
    <xf numFmtId="0" fontId="37" fillId="0" borderId="79" xfId="3" applyFont="1" applyBorder="1" applyAlignment="1" applyProtection="1">
      <alignment horizontal="center"/>
    </xf>
    <xf numFmtId="0" fontId="37" fillId="0" borderId="73" xfId="3" applyFont="1" applyBorder="1" applyAlignment="1" applyProtection="1">
      <alignment horizontal="center"/>
    </xf>
    <xf numFmtId="0" fontId="37" fillId="0" borderId="73" xfId="3" applyFont="1" applyBorder="1" applyAlignment="1" applyProtection="1">
      <alignment horizontal="center" wrapText="1"/>
    </xf>
    <xf numFmtId="0" fontId="37" fillId="0" borderId="82" xfId="3" applyFont="1" applyBorder="1" applyAlignment="1" applyProtection="1">
      <alignment horizontal="center"/>
    </xf>
    <xf numFmtId="0" fontId="9" fillId="0" borderId="72" xfId="3" applyFont="1" applyBorder="1" applyAlignment="1" applyProtection="1">
      <alignment horizontal="center"/>
    </xf>
    <xf numFmtId="0" fontId="9" fillId="0" borderId="3" xfId="3" applyFont="1" applyBorder="1" applyAlignment="1" applyProtection="1">
      <alignment horizontal="center"/>
    </xf>
    <xf numFmtId="0" fontId="126" fillId="4" borderId="59" xfId="6" applyFont="1" applyFill="1" applyBorder="1" applyAlignment="1" applyProtection="1">
      <alignment horizontal="center"/>
      <protection locked="0"/>
    </xf>
    <xf numFmtId="0" fontId="126" fillId="4" borderId="60" xfId="6" applyFont="1" applyFill="1" applyBorder="1" applyAlignment="1" applyProtection="1">
      <alignment horizontal="center"/>
      <protection locked="0"/>
    </xf>
    <xf numFmtId="0" fontId="9" fillId="4" borderId="60" xfId="6" applyFont="1" applyFill="1" applyBorder="1" applyAlignment="1" applyProtection="1">
      <alignment horizontal="center"/>
      <protection locked="0"/>
    </xf>
    <xf numFmtId="0" fontId="56" fillId="0" borderId="0" xfId="6" applyFont="1" applyAlignment="1">
      <alignment horizontal="center"/>
    </xf>
    <xf numFmtId="0" fontId="46" fillId="0" borderId="0" xfId="6" applyFont="1" applyAlignment="1">
      <alignment horizontal="right" readingOrder="2"/>
    </xf>
    <xf numFmtId="0" fontId="42" fillId="4" borderId="59" xfId="6" applyFont="1" applyFill="1" applyBorder="1" applyAlignment="1" applyProtection="1">
      <alignment horizontal="center" readingOrder="2"/>
      <protection locked="0"/>
    </xf>
    <xf numFmtId="0" fontId="42" fillId="4" borderId="1" xfId="6" applyFont="1" applyFill="1" applyBorder="1" applyAlignment="1" applyProtection="1">
      <alignment horizontal="center" readingOrder="2"/>
      <protection locked="0"/>
    </xf>
    <xf numFmtId="0" fontId="42" fillId="4" borderId="60" xfId="6" applyFont="1" applyFill="1" applyBorder="1" applyAlignment="1" applyProtection="1">
      <alignment horizontal="center" readingOrder="2"/>
      <protection locked="0"/>
    </xf>
    <xf numFmtId="0" fontId="23" fillId="0" borderId="0" xfId="6" applyFont="1" applyAlignment="1">
      <alignment horizontal="left"/>
    </xf>
    <xf numFmtId="0" fontId="10" fillId="0" borderId="0" xfId="3" applyAlignment="1" applyProtection="1">
      <alignment horizontal="left"/>
    </xf>
    <xf numFmtId="0" fontId="9" fillId="4" borderId="65" xfId="6" applyFont="1" applyFill="1" applyBorder="1" applyAlignment="1" applyProtection="1">
      <alignment horizontal="left"/>
      <protection locked="0"/>
    </xf>
    <xf numFmtId="0" fontId="9" fillId="4" borderId="66" xfId="6" applyFont="1" applyFill="1" applyBorder="1" applyAlignment="1" applyProtection="1">
      <alignment horizontal="left"/>
      <protection locked="0"/>
    </xf>
    <xf numFmtId="0" fontId="9" fillId="4" borderId="67" xfId="6" applyFont="1" applyFill="1" applyBorder="1" applyAlignment="1" applyProtection="1">
      <alignment horizontal="left"/>
      <protection locked="0"/>
    </xf>
    <xf numFmtId="0" fontId="9" fillId="0" borderId="0" xfId="6" applyFont="1" applyAlignment="1">
      <alignment horizontal="left" vertical="top" wrapText="1"/>
    </xf>
    <xf numFmtId="0" fontId="46" fillId="0" borderId="0" xfId="6" applyFont="1" applyAlignment="1">
      <alignment horizontal="center"/>
    </xf>
    <xf numFmtId="0" fontId="83" fillId="0" borderId="0" xfId="6" applyFont="1" applyAlignment="1">
      <alignment horizontal="center" vertical="center"/>
    </xf>
    <xf numFmtId="0" fontId="9" fillId="0" borderId="75" xfId="3" applyFont="1" applyBorder="1" applyAlignment="1" applyProtection="1">
      <alignment horizontal="center"/>
    </xf>
    <xf numFmtId="0" fontId="9" fillId="0" borderId="10" xfId="3" applyFont="1" applyBorder="1" applyAlignment="1" applyProtection="1">
      <alignment horizontal="center"/>
    </xf>
    <xf numFmtId="0" fontId="126" fillId="4" borderId="62" xfId="6" applyFont="1" applyFill="1" applyBorder="1" applyAlignment="1" applyProtection="1">
      <alignment horizontal="center"/>
      <protection locked="0"/>
    </xf>
    <xf numFmtId="0" fontId="126" fillId="4" borderId="77" xfId="6" applyFont="1" applyFill="1" applyBorder="1" applyAlignment="1" applyProtection="1">
      <alignment horizontal="center"/>
      <protection locked="0"/>
    </xf>
    <xf numFmtId="0" fontId="9" fillId="4" borderId="77" xfId="6" applyFont="1" applyFill="1" applyBorder="1" applyAlignment="1" applyProtection="1">
      <alignment horizontal="center"/>
      <protection locked="0"/>
    </xf>
    <xf numFmtId="0" fontId="9" fillId="4" borderId="62" xfId="6" applyFont="1" applyFill="1" applyBorder="1" applyAlignment="1" applyProtection="1">
      <alignment horizontal="center"/>
      <protection locked="0"/>
    </xf>
    <xf numFmtId="0" fontId="9" fillId="4" borderId="84" xfId="6" applyFont="1" applyFill="1" applyBorder="1" applyAlignment="1" applyProtection="1">
      <alignment horizontal="center"/>
      <protection locked="0"/>
    </xf>
    <xf numFmtId="0" fontId="72" fillId="0" borderId="0" xfId="19" applyFont="1" applyAlignment="1">
      <alignment horizontal="center" vertical="center"/>
    </xf>
    <xf numFmtId="0" fontId="12" fillId="0" borderId="0" xfId="19" applyFont="1"/>
    <xf numFmtId="0" fontId="9" fillId="0" borderId="0" xfId="17"/>
    <xf numFmtId="0" fontId="83" fillId="0" borderId="0" xfId="19" applyFont="1" applyAlignment="1">
      <alignment horizontal="center"/>
    </xf>
    <xf numFmtId="0" fontId="46" fillId="0" borderId="0" xfId="19" applyFont="1" applyAlignment="1">
      <alignment horizontal="left" vertical="center" wrapText="1"/>
    </xf>
    <xf numFmtId="0" fontId="12" fillId="0" borderId="35" xfId="19" applyFont="1" applyBorder="1" applyAlignment="1">
      <alignment horizontal="center" vertical="center"/>
    </xf>
    <xf numFmtId="0" fontId="12" fillId="0" borderId="37" xfId="19" applyFont="1" applyBorder="1" applyAlignment="1">
      <alignment horizontal="center" vertical="center"/>
    </xf>
    <xf numFmtId="0" fontId="12" fillId="0" borderId="103" xfId="19" applyFont="1" applyBorder="1" applyAlignment="1">
      <alignment horizontal="center" vertical="center" wrapText="1"/>
    </xf>
    <xf numFmtId="0" fontId="12" fillId="0" borderId="0" xfId="19" applyFont="1" applyAlignment="1">
      <alignment horizontal="center" vertical="center" wrapText="1"/>
    </xf>
    <xf numFmtId="0" fontId="12" fillId="0" borderId="0" xfId="19" applyFont="1" applyAlignment="1">
      <alignment horizontal="center" wrapText="1"/>
    </xf>
    <xf numFmtId="0" fontId="12" fillId="0" borderId="15" xfId="19" applyFont="1" applyBorder="1" applyAlignment="1">
      <alignment horizontal="center"/>
    </xf>
    <xf numFmtId="0" fontId="12" fillId="0" borderId="6" xfId="19" applyFont="1" applyBorder="1" applyAlignment="1">
      <alignment horizontal="center"/>
    </xf>
    <xf numFmtId="0" fontId="12" fillId="0" borderId="0" xfId="19" applyFont="1" applyAlignment="1">
      <alignment horizontal="center"/>
    </xf>
    <xf numFmtId="0" fontId="12" fillId="0" borderId="51" xfId="19" applyFont="1" applyBorder="1" applyAlignment="1">
      <alignment horizontal="center"/>
    </xf>
    <xf numFmtId="0" fontId="12" fillId="0" borderId="52" xfId="19" applyFont="1" applyBorder="1" applyAlignment="1">
      <alignment horizontal="center"/>
    </xf>
    <xf numFmtId="0" fontId="12" fillId="0" borderId="7" xfId="19" applyFont="1" applyBorder="1" applyAlignment="1">
      <alignment horizontal="center"/>
    </xf>
    <xf numFmtId="0" fontId="110" fillId="0" borderId="0" xfId="19" applyFont="1" applyAlignment="1">
      <alignment horizontal="center" vertical="center"/>
    </xf>
    <xf numFmtId="0" fontId="12" fillId="0" borderId="0" xfId="19" applyFont="1" applyAlignment="1">
      <alignment horizontal="center" vertical="center"/>
    </xf>
    <xf numFmtId="0" fontId="12" fillId="0" borderId="104" xfId="19" applyFont="1" applyBorder="1" applyAlignment="1">
      <alignment horizontal="center" wrapText="1"/>
    </xf>
    <xf numFmtId="0" fontId="12" fillId="0" borderId="103" xfId="19" applyFont="1" applyBorder="1" applyAlignment="1">
      <alignment horizontal="center" wrapText="1"/>
    </xf>
    <xf numFmtId="0" fontId="12" fillId="0" borderId="16" xfId="19" applyFont="1" applyBorder="1" applyAlignment="1">
      <alignment horizontal="center" wrapText="1"/>
    </xf>
    <xf numFmtId="0" fontId="12" fillId="0" borderId="0" xfId="19" applyFont="1" applyAlignment="1">
      <alignment horizontal="left"/>
    </xf>
    <xf numFmtId="0" fontId="9" fillId="0" borderId="0" xfId="6" applyFont="1" applyAlignment="1">
      <alignment horizontal="left" vertical="top"/>
    </xf>
    <xf numFmtId="0" fontId="110" fillId="0" borderId="0" xfId="6" applyFont="1" applyAlignment="1">
      <alignment horizontal="center" vertical="top"/>
    </xf>
    <xf numFmtId="0" fontId="12" fillId="0" borderId="73" xfId="3" applyFont="1" applyBorder="1" applyAlignment="1" applyProtection="1">
      <alignment horizontal="center"/>
    </xf>
    <xf numFmtId="0" fontId="12" fillId="0" borderId="82" xfId="3" applyFont="1" applyBorder="1" applyAlignment="1" applyProtection="1">
      <alignment horizontal="center"/>
    </xf>
    <xf numFmtId="0" fontId="12" fillId="0" borderId="79" xfId="3" applyFont="1" applyBorder="1" applyAlignment="1" applyProtection="1">
      <alignment horizontal="center"/>
    </xf>
    <xf numFmtId="38" fontId="30" fillId="0" borderId="65" xfId="0" applyNumberFormat="1" applyFont="1" applyBorder="1" applyAlignment="1">
      <alignment horizontal="left" wrapText="1"/>
    </xf>
    <xf numFmtId="38" fontId="30" fillId="0" borderId="66" xfId="0" applyNumberFormat="1" applyFont="1" applyBorder="1" applyAlignment="1">
      <alignment horizontal="left" wrapText="1"/>
    </xf>
    <xf numFmtId="38" fontId="30" fillId="0" borderId="67" xfId="0" applyNumberFormat="1" applyFont="1" applyBorder="1" applyAlignment="1">
      <alignment horizontal="left" wrapText="1"/>
    </xf>
    <xf numFmtId="0" fontId="9" fillId="0" borderId="85" xfId="0" applyFont="1" applyBorder="1" applyAlignment="1">
      <alignment horizontal="right" vertical="center"/>
    </xf>
    <xf numFmtId="0" fontId="0" fillId="0" borderId="76" xfId="0" applyBorder="1" applyAlignment="1">
      <alignment horizontal="right" vertical="center"/>
    </xf>
    <xf numFmtId="0" fontId="0" fillId="0" borderId="77" xfId="0" applyBorder="1" applyAlignment="1">
      <alignment horizontal="right" vertical="center"/>
    </xf>
    <xf numFmtId="1" fontId="23" fillId="0" borderId="62" xfId="0" quotePrefix="1" applyNumberFormat="1" applyFont="1" applyBorder="1" applyAlignment="1">
      <alignment horizontal="center" vertical="center"/>
    </xf>
    <xf numFmtId="0" fontId="23" fillId="0" borderId="84" xfId="0" quotePrefix="1" applyFont="1" applyBorder="1" applyAlignment="1">
      <alignment horizontal="center" vertical="center"/>
    </xf>
    <xf numFmtId="1" fontId="23" fillId="0" borderId="59" xfId="0" applyNumberFormat="1" applyFont="1" applyBorder="1" applyAlignment="1">
      <alignment horizontal="center" vertical="center"/>
    </xf>
    <xf numFmtId="0" fontId="23" fillId="0" borderId="81" xfId="0" applyFont="1" applyBorder="1" applyAlignment="1">
      <alignment horizontal="center" vertical="center"/>
    </xf>
    <xf numFmtId="38" fontId="30" fillId="14" borderId="78" xfId="0" applyNumberFormat="1" applyFont="1" applyFill="1" applyBorder="1" applyAlignment="1">
      <alignment horizontal="left" vertical="center" wrapText="1"/>
    </xf>
    <xf numFmtId="38" fontId="30" fillId="14" borderId="14" xfId="0" applyNumberFormat="1" applyFont="1" applyFill="1" applyBorder="1" applyAlignment="1">
      <alignment horizontal="left" vertical="center" wrapText="1"/>
    </xf>
    <xf numFmtId="38" fontId="30" fillId="14" borderId="50" xfId="0" applyNumberFormat="1" applyFont="1" applyFill="1" applyBorder="1" applyAlignment="1">
      <alignment horizontal="left" vertical="center" wrapText="1"/>
    </xf>
    <xf numFmtId="38" fontId="30" fillId="14" borderId="9" xfId="0" applyNumberFormat="1" applyFont="1" applyFill="1" applyBorder="1" applyAlignment="1">
      <alignment horizontal="left" vertical="center" wrapText="1"/>
    </xf>
    <xf numFmtId="38" fontId="30" fillId="14" borderId="13" xfId="0" applyNumberFormat="1" applyFont="1" applyFill="1" applyBorder="1" applyAlignment="1">
      <alignment horizontal="left" vertical="center" wrapText="1"/>
    </xf>
    <xf numFmtId="38" fontId="30" fillId="14" borderId="92" xfId="0" applyNumberFormat="1" applyFont="1" applyFill="1" applyBorder="1" applyAlignment="1">
      <alignment horizontal="left" vertical="center" wrapText="1"/>
    </xf>
    <xf numFmtId="0" fontId="46" fillId="0" borderId="0" xfId="0" applyFont="1" applyAlignment="1">
      <alignment horizontal="left"/>
    </xf>
    <xf numFmtId="1" fontId="23" fillId="0" borderId="3" xfId="0" applyNumberFormat="1" applyFont="1" applyBorder="1" applyAlignment="1">
      <alignment horizontal="center" vertical="center"/>
    </xf>
    <xf numFmtId="1" fontId="23" fillId="0" borderId="33" xfId="0" applyNumberFormat="1" applyFont="1" applyBorder="1" applyAlignment="1">
      <alignment horizontal="center" vertical="center"/>
    </xf>
    <xf numFmtId="166" fontId="9" fillId="0" borderId="73" xfId="0" applyNumberFormat="1" applyFont="1" applyBorder="1" applyAlignment="1">
      <alignment horizontal="center"/>
    </xf>
    <xf numFmtId="166" fontId="9" fillId="0" borderId="82" xfId="0" applyNumberFormat="1" applyFont="1" applyBorder="1" applyAlignment="1">
      <alignment horizontal="center"/>
    </xf>
    <xf numFmtId="0" fontId="23" fillId="0" borderId="3" xfId="0" applyFont="1" applyBorder="1" applyAlignment="1">
      <alignment horizontal="center" vertical="center"/>
    </xf>
    <xf numFmtId="0" fontId="23" fillId="0" borderId="33" xfId="0" applyFont="1" applyBorder="1" applyAlignment="1">
      <alignment horizontal="center" vertical="center"/>
    </xf>
    <xf numFmtId="168" fontId="23" fillId="0" borderId="3" xfId="0" applyNumberFormat="1" applyFont="1" applyBorder="1" applyAlignment="1">
      <alignment horizontal="center"/>
    </xf>
    <xf numFmtId="168" fontId="23" fillId="0" borderId="33" xfId="0" applyNumberFormat="1" applyFont="1" applyBorder="1" applyAlignment="1">
      <alignment horizontal="center"/>
    </xf>
    <xf numFmtId="2" fontId="46" fillId="0" borderId="0" xfId="0" applyNumberFormat="1" applyFont="1" applyAlignment="1">
      <alignment horizontal="left"/>
    </xf>
    <xf numFmtId="0" fontId="96" fillId="0" borderId="0" xfId="0" applyFont="1" applyAlignment="1">
      <alignment horizontal="center" wrapText="1"/>
    </xf>
    <xf numFmtId="0" fontId="9" fillId="15" borderId="0" xfId="0" applyFont="1" applyFill="1" applyAlignment="1">
      <alignment horizontal="left" vertical="top"/>
    </xf>
    <xf numFmtId="10" fontId="46" fillId="0" borderId="0" xfId="0" applyNumberFormat="1" applyFont="1" applyAlignment="1">
      <alignment horizontal="left"/>
    </xf>
    <xf numFmtId="0" fontId="110" fillId="0" borderId="0" xfId="0" applyFont="1" applyAlignment="1">
      <alignment horizontal="left"/>
    </xf>
    <xf numFmtId="0" fontId="14" fillId="3" borderId="0" xfId="0" applyFont="1" applyFill="1" applyAlignment="1">
      <alignment horizontal="left"/>
    </xf>
    <xf numFmtId="0" fontId="81" fillId="0" borderId="0" xfId="0" applyFont="1" applyAlignment="1">
      <alignment horizontal="left" vertical="top" wrapText="1"/>
    </xf>
    <xf numFmtId="0" fontId="39" fillId="0" borderId="0" xfId="0" applyFont="1" applyAlignment="1">
      <alignment horizontal="center" vertical="center"/>
    </xf>
    <xf numFmtId="0" fontId="39" fillId="15" borderId="0" xfId="0" applyFont="1" applyFill="1" applyAlignment="1">
      <alignment horizontal="center" vertical="center"/>
    </xf>
    <xf numFmtId="0" fontId="9" fillId="0" borderId="0" xfId="0" applyFont="1" applyAlignment="1">
      <alignment horizontal="left"/>
    </xf>
    <xf numFmtId="2" fontId="117" fillId="0" borderId="0" xfId="3" applyNumberFormat="1" applyFont="1" applyAlignment="1" applyProtection="1">
      <alignment horizontal="left" vertical="center" wrapText="1"/>
    </xf>
    <xf numFmtId="0" fontId="0" fillId="0" borderId="0" xfId="0" applyAlignment="1">
      <alignment horizontal="left" vertical="top" wrapText="1"/>
    </xf>
    <xf numFmtId="0" fontId="0" fillId="0" borderId="17" xfId="0" applyBorder="1" applyAlignment="1">
      <alignment horizontal="left" vertical="top" wrapText="1"/>
    </xf>
    <xf numFmtId="0" fontId="50" fillId="0" borderId="62" xfId="0" applyFont="1" applyBorder="1" applyAlignment="1">
      <alignment vertical="top" wrapText="1"/>
    </xf>
    <xf numFmtId="0" fontId="50" fillId="0" borderId="77" xfId="0" applyFont="1" applyBorder="1" applyAlignment="1">
      <alignment vertical="top" wrapText="1"/>
    </xf>
    <xf numFmtId="0" fontId="77" fillId="0" borderId="99" xfId="0" applyFont="1" applyBorder="1" applyAlignment="1">
      <alignment vertical="top" wrapText="1"/>
    </xf>
    <xf numFmtId="0" fontId="77" fillId="0" borderId="20" xfId="0" applyFont="1" applyBorder="1" applyAlignment="1">
      <alignment vertical="top" wrapText="1"/>
    </xf>
    <xf numFmtId="0" fontId="50" fillId="0" borderId="80" xfId="0" applyFont="1" applyBorder="1" applyAlignment="1">
      <alignment vertical="top" wrapText="1"/>
    </xf>
    <xf numFmtId="0" fontId="50" fillId="0" borderId="60" xfId="0" applyFont="1" applyBorder="1" applyAlignment="1">
      <alignment vertical="top" wrapText="1"/>
    </xf>
    <xf numFmtId="0" fontId="50" fillId="0" borderId="85" xfId="0" applyFont="1" applyBorder="1" applyAlignment="1">
      <alignment vertical="top" wrapText="1"/>
    </xf>
    <xf numFmtId="0" fontId="50" fillId="0" borderId="61" xfId="0" applyFont="1" applyBorder="1" applyAlignment="1">
      <alignment vertical="top" wrapText="1"/>
    </xf>
    <xf numFmtId="0" fontId="50" fillId="0" borderId="63" xfId="0" applyFont="1" applyBorder="1" applyAlignment="1">
      <alignment vertical="top" wrapText="1"/>
    </xf>
    <xf numFmtId="0" fontId="50" fillId="0" borderId="59" xfId="0" applyFont="1" applyBorder="1" applyAlignment="1">
      <alignment vertical="top" wrapText="1"/>
    </xf>
    <xf numFmtId="0" fontId="77" fillId="0" borderId="22" xfId="0" applyFont="1" applyBorder="1" applyAlignment="1">
      <alignment vertical="top" wrapText="1"/>
    </xf>
    <xf numFmtId="0" fontId="50" fillId="0" borderId="83" xfId="0" applyFont="1" applyBorder="1" applyAlignment="1">
      <alignment vertical="top" wrapText="1"/>
    </xf>
    <xf numFmtId="0" fontId="50" fillId="0" borderId="81" xfId="0" applyFont="1" applyBorder="1" applyAlignment="1">
      <alignment vertical="top" wrapText="1"/>
    </xf>
    <xf numFmtId="0" fontId="50" fillId="0" borderId="84" xfId="0" applyFont="1" applyBorder="1" applyAlignment="1">
      <alignment vertical="top" wrapText="1"/>
    </xf>
    <xf numFmtId="0" fontId="50" fillId="0" borderId="86" xfId="0" applyFont="1" applyBorder="1" applyAlignment="1">
      <alignment vertical="top" wrapText="1"/>
    </xf>
    <xf numFmtId="0" fontId="37" fillId="0" borderId="80" xfId="0" applyFont="1" applyBorder="1" applyAlignment="1">
      <alignment horizontal="left"/>
    </xf>
    <xf numFmtId="0" fontId="37" fillId="0" borderId="1" xfId="0" applyFont="1" applyBorder="1" applyAlignment="1">
      <alignment horizontal="left"/>
    </xf>
    <xf numFmtId="0" fontId="37" fillId="0" borderId="81" xfId="0" applyFont="1" applyBorder="1" applyAlignment="1">
      <alignment horizontal="left"/>
    </xf>
    <xf numFmtId="0" fontId="37" fillId="0" borderId="1" xfId="0" applyFont="1" applyBorder="1" applyAlignment="1">
      <alignment horizontal="center"/>
    </xf>
    <xf numFmtId="0" fontId="37" fillId="0" borderId="81" xfId="0" applyFont="1" applyBorder="1" applyAlignment="1">
      <alignment horizontal="center"/>
    </xf>
    <xf numFmtId="0" fontId="37" fillId="0" borderId="85" xfId="0" applyFont="1" applyBorder="1" applyAlignment="1">
      <alignment horizontal="left"/>
    </xf>
    <xf numFmtId="0" fontId="37" fillId="0" borderId="76" xfId="0" applyFont="1" applyBorder="1" applyAlignment="1">
      <alignment horizontal="left"/>
    </xf>
    <xf numFmtId="0" fontId="37" fillId="0" borderId="84" xfId="0" applyFont="1" applyBorder="1" applyAlignment="1">
      <alignment horizontal="left"/>
    </xf>
    <xf numFmtId="0" fontId="37" fillId="0" borderId="80" xfId="0" applyFont="1" applyBorder="1" applyAlignment="1">
      <alignment horizontal="center"/>
    </xf>
    <xf numFmtId="168" fontId="37" fillId="0" borderId="1" xfId="0" applyNumberFormat="1" applyFont="1" applyBorder="1" applyAlignment="1">
      <alignment horizontal="center"/>
    </xf>
    <xf numFmtId="0" fontId="37" fillId="0" borderId="65" xfId="0" applyFont="1" applyBorder="1" applyAlignment="1">
      <alignment horizontal="center"/>
    </xf>
    <xf numFmtId="0" fontId="37" fillId="0" borderId="67" xfId="0" applyFont="1" applyBorder="1" applyAlignment="1">
      <alignment horizontal="center"/>
    </xf>
    <xf numFmtId="0" fontId="37" fillId="0" borderId="66" xfId="0" applyFont="1" applyBorder="1" applyAlignment="1">
      <alignment horizontal="center"/>
    </xf>
    <xf numFmtId="0" fontId="37" fillId="0" borderId="86" xfId="0" applyFont="1" applyBorder="1" applyAlignment="1">
      <alignment horizontal="center"/>
    </xf>
    <xf numFmtId="0" fontId="37" fillId="0" borderId="83" xfId="0" applyFont="1" applyBorder="1" applyAlignment="1">
      <alignment horizontal="center"/>
    </xf>
    <xf numFmtId="0" fontId="9" fillId="12" borderId="86" xfId="0" applyFont="1" applyFill="1" applyBorder="1" applyAlignment="1" applyProtection="1">
      <alignment horizontal="center"/>
      <protection locked="0"/>
    </xf>
    <xf numFmtId="0" fontId="9" fillId="12" borderId="83" xfId="0" applyFont="1" applyFill="1" applyBorder="1" applyAlignment="1" applyProtection="1">
      <alignment horizontal="center"/>
      <protection locked="0"/>
    </xf>
    <xf numFmtId="0" fontId="11" fillId="0" borderId="26" xfId="0" applyFont="1" applyBorder="1" applyAlignment="1">
      <alignment horizontal="center"/>
    </xf>
    <xf numFmtId="0" fontId="37" fillId="0" borderId="65" xfId="0" applyFont="1" applyBorder="1" applyAlignment="1">
      <alignment horizontal="left"/>
    </xf>
    <xf numFmtId="0" fontId="37" fillId="0" borderId="66" xfId="0" applyFont="1" applyBorder="1" applyAlignment="1">
      <alignment horizontal="left"/>
    </xf>
    <xf numFmtId="0" fontId="37" fillId="0" borderId="67" xfId="0" applyFont="1" applyBorder="1" applyAlignment="1">
      <alignment horizontal="left"/>
    </xf>
    <xf numFmtId="0" fontId="37" fillId="0" borderId="86" xfId="0" applyFont="1" applyBorder="1" applyAlignment="1">
      <alignment horizontal="left"/>
    </xf>
    <xf numFmtId="0" fontId="37" fillId="0" borderId="64" xfId="0" applyFont="1" applyBorder="1" applyAlignment="1">
      <alignment horizontal="left"/>
    </xf>
    <xf numFmtId="0" fontId="37" fillId="0" borderId="83" xfId="0" applyFont="1" applyBorder="1" applyAlignment="1">
      <alignment horizontal="left"/>
    </xf>
    <xf numFmtId="0" fontId="37" fillId="0" borderId="64" xfId="0" applyFont="1" applyBorder="1" applyAlignment="1">
      <alignment horizontal="center"/>
    </xf>
    <xf numFmtId="2" fontId="37" fillId="0" borderId="1" xfId="0" applyNumberFormat="1" applyFont="1" applyBorder="1" applyAlignment="1">
      <alignment horizontal="center"/>
    </xf>
    <xf numFmtId="1" fontId="37" fillId="0" borderId="1" xfId="0" applyNumberFormat="1" applyFont="1" applyBorder="1" applyAlignment="1">
      <alignment horizontal="center"/>
    </xf>
    <xf numFmtId="0" fontId="37" fillId="4" borderId="60" xfId="0" applyFont="1" applyFill="1" applyBorder="1" applyAlignment="1" applyProtection="1">
      <alignment horizontal="center"/>
      <protection locked="0"/>
    </xf>
    <xf numFmtId="0" fontId="37" fillId="4" borderId="59" xfId="0" applyFont="1" applyFill="1" applyBorder="1" applyAlignment="1" applyProtection="1">
      <alignment horizontal="center"/>
      <protection locked="0"/>
    </xf>
    <xf numFmtId="2" fontId="37" fillId="0" borderId="26" xfId="0" applyNumberFormat="1" applyFont="1" applyBorder="1" applyAlignment="1">
      <alignment horizontal="center"/>
    </xf>
    <xf numFmtId="0" fontId="37" fillId="0" borderId="26" xfId="0" applyFont="1" applyBorder="1" applyAlignment="1">
      <alignment horizontal="center"/>
    </xf>
    <xf numFmtId="0" fontId="37" fillId="0" borderId="80" xfId="0" applyFont="1" applyBorder="1" applyAlignment="1">
      <alignment horizontal="center" vertical="top" wrapText="1"/>
    </xf>
    <xf numFmtId="0" fontId="37" fillId="0" borderId="81" xfId="0" applyFont="1" applyBorder="1" applyAlignment="1">
      <alignment horizontal="center" vertical="top" wrapText="1"/>
    </xf>
    <xf numFmtId="0" fontId="37" fillId="0" borderId="85" xfId="0" applyFont="1" applyBorder="1" applyAlignment="1">
      <alignment horizontal="center"/>
    </xf>
    <xf numFmtId="0" fontId="37" fillId="0" borderId="84" xfId="0" applyFont="1" applyBorder="1" applyAlignment="1">
      <alignment horizontal="center"/>
    </xf>
    <xf numFmtId="1" fontId="114" fillId="0" borderId="0" xfId="0" applyNumberFormat="1" applyFont="1" applyAlignment="1">
      <alignment horizontal="left" vertical="top" wrapText="1"/>
    </xf>
    <xf numFmtId="1" fontId="114" fillId="0" borderId="13" xfId="0" applyNumberFormat="1" applyFont="1" applyBorder="1" applyAlignment="1">
      <alignment horizontal="left" vertical="top" wrapText="1"/>
    </xf>
    <xf numFmtId="0" fontId="37" fillId="0" borderId="80" xfId="0" applyFont="1" applyBorder="1" applyAlignment="1">
      <alignment horizontal="center" vertical="center"/>
    </xf>
    <xf numFmtId="0" fontId="37" fillId="0" borderId="81" xfId="0" applyFont="1" applyBorder="1" applyAlignment="1">
      <alignment horizontal="center" vertical="center"/>
    </xf>
    <xf numFmtId="0" fontId="37" fillId="0" borderId="80" xfId="0" applyFont="1" applyBorder="1" applyAlignment="1">
      <alignment horizontal="center" vertical="center" wrapText="1"/>
    </xf>
    <xf numFmtId="0" fontId="37" fillId="0" borderId="81" xfId="0" applyFont="1" applyBorder="1" applyAlignment="1">
      <alignment horizontal="center" vertical="center" wrapText="1"/>
    </xf>
    <xf numFmtId="0" fontId="37" fillId="0" borderId="80" xfId="0" applyFont="1" applyBorder="1" applyAlignment="1">
      <alignment horizontal="left" vertical="center"/>
    </xf>
    <xf numFmtId="0" fontId="37" fillId="0" borderId="1" xfId="0" applyFont="1" applyBorder="1" applyAlignment="1">
      <alignment horizontal="left" vertical="center"/>
    </xf>
    <xf numFmtId="0" fontId="37" fillId="0" borderId="81" xfId="0" applyFont="1" applyBorder="1" applyAlignment="1">
      <alignment horizontal="left" vertical="center"/>
    </xf>
    <xf numFmtId="0" fontId="37" fillId="0" borderId="1" xfId="0" applyFont="1" applyBorder="1" applyAlignment="1">
      <alignment horizontal="center" vertical="center"/>
    </xf>
    <xf numFmtId="1" fontId="32" fillId="0" borderId="65" xfId="0" applyNumberFormat="1" applyFont="1" applyBorder="1" applyAlignment="1">
      <alignment horizontal="left" vertical="center" wrapText="1"/>
    </xf>
    <xf numFmtId="1" fontId="32" fillId="0" borderId="67" xfId="0" applyNumberFormat="1" applyFont="1" applyBorder="1" applyAlignment="1">
      <alignment horizontal="left" vertical="center" wrapText="1"/>
    </xf>
    <xf numFmtId="1" fontId="114" fillId="0" borderId="65" xfId="0" applyNumberFormat="1" applyFont="1" applyBorder="1" applyAlignment="1">
      <alignment horizontal="center" vertical="center"/>
    </xf>
    <xf numFmtId="1" fontId="114" fillId="0" borderId="67" xfId="0" applyNumberFormat="1" applyFont="1" applyBorder="1" applyAlignment="1">
      <alignment horizontal="center" vertical="center"/>
    </xf>
    <xf numFmtId="0" fontId="12" fillId="12" borderId="80" xfId="0" applyFont="1" applyFill="1" applyBorder="1" applyAlignment="1" applyProtection="1">
      <alignment horizontal="center"/>
      <protection locked="0"/>
    </xf>
    <xf numFmtId="0" fontId="12" fillId="12" borderId="81" xfId="0" applyFont="1" applyFill="1" applyBorder="1" applyAlignment="1" applyProtection="1">
      <alignment horizontal="center"/>
      <protection locked="0"/>
    </xf>
    <xf numFmtId="0" fontId="12" fillId="12" borderId="86" xfId="0" applyFont="1" applyFill="1" applyBorder="1" applyAlignment="1" applyProtection="1">
      <alignment horizontal="center"/>
      <protection locked="0"/>
    </xf>
    <xf numFmtId="0" fontId="12" fillId="12" borderId="83" xfId="0" applyFont="1" applyFill="1" applyBorder="1" applyAlignment="1" applyProtection="1">
      <alignment horizontal="center"/>
      <protection locked="0"/>
    </xf>
    <xf numFmtId="0" fontId="37" fillId="12" borderId="80" xfId="0" applyFont="1" applyFill="1" applyBorder="1" applyAlignment="1">
      <alignment horizontal="center"/>
    </xf>
    <xf numFmtId="0" fontId="37" fillId="12" borderId="81" xfId="0" applyFont="1" applyFill="1" applyBorder="1" applyAlignment="1">
      <alignment horizontal="center"/>
    </xf>
    <xf numFmtId="0" fontId="37" fillId="12" borderId="1" xfId="0" applyFont="1" applyFill="1" applyBorder="1" applyAlignment="1">
      <alignment horizontal="center"/>
    </xf>
    <xf numFmtId="0" fontId="37" fillId="12" borderId="80" xfId="0" applyFont="1" applyFill="1" applyBorder="1" applyAlignment="1">
      <alignment horizontal="left"/>
    </xf>
    <xf numFmtId="0" fontId="37" fillId="12" borderId="1" xfId="0" applyFont="1" applyFill="1" applyBorder="1" applyAlignment="1">
      <alignment horizontal="left"/>
    </xf>
    <xf numFmtId="0" fontId="37" fillId="12" borderId="81" xfId="0" applyFont="1" applyFill="1" applyBorder="1" applyAlignment="1">
      <alignment horizontal="left"/>
    </xf>
    <xf numFmtId="168" fontId="37" fillId="12" borderId="1" xfId="0" applyNumberFormat="1" applyFont="1" applyFill="1" applyBorder="1" applyAlignment="1">
      <alignment horizontal="center"/>
    </xf>
    <xf numFmtId="0" fontId="37" fillId="0" borderId="80" xfId="0" applyFont="1" applyBorder="1" applyAlignment="1">
      <alignment horizontal="center" wrapText="1"/>
    </xf>
    <xf numFmtId="0" fontId="37" fillId="0" borderId="1" xfId="0" applyFont="1" applyBorder="1" applyAlignment="1">
      <alignment horizontal="center" wrapText="1"/>
    </xf>
    <xf numFmtId="0" fontId="37" fillId="0" borderId="81" xfId="0" applyFont="1" applyBorder="1" applyAlignment="1">
      <alignment horizontal="center" wrapText="1"/>
    </xf>
    <xf numFmtId="0" fontId="37" fillId="4" borderId="80" xfId="0" applyFont="1" applyFill="1" applyBorder="1" applyAlignment="1" applyProtection="1">
      <alignment horizontal="center"/>
      <protection locked="0"/>
    </xf>
    <xf numFmtId="0" fontId="37" fillId="4" borderId="81" xfId="0" applyFont="1" applyFill="1" applyBorder="1" applyAlignment="1" applyProtection="1">
      <alignment horizontal="center"/>
      <protection locked="0"/>
    </xf>
    <xf numFmtId="0" fontId="125" fillId="0" borderId="59" xfId="1488" applyFont="1" applyBorder="1" applyAlignment="1">
      <alignment horizontal="left"/>
    </xf>
    <xf numFmtId="0" fontId="125" fillId="0" borderId="1" xfId="1488" applyFont="1" applyBorder="1" applyAlignment="1">
      <alignment horizontal="left"/>
    </xf>
    <xf numFmtId="0" fontId="125" fillId="0" borderId="60" xfId="1488" applyFont="1" applyBorder="1" applyAlignment="1">
      <alignment horizontal="left"/>
    </xf>
    <xf numFmtId="0" fontId="2" fillId="0" borderId="59" xfId="1488" applyBorder="1" applyAlignment="1">
      <alignment horizontal="left"/>
    </xf>
    <xf numFmtId="0" fontId="2" fillId="0" borderId="1" xfId="1488" applyBorder="1" applyAlignment="1">
      <alignment horizontal="left"/>
    </xf>
    <xf numFmtId="0" fontId="2" fillId="0" borderId="60" xfId="1488" applyBorder="1" applyAlignment="1">
      <alignment horizontal="left"/>
    </xf>
  </cellXfs>
  <cellStyles count="1489">
    <cellStyle name="Comma" xfId="1" builtinId="3"/>
    <cellStyle name="Equation" xfId="2" xr:uid="{00000000-0005-0000-0000-000001000000}"/>
    <cellStyle name="Hyperlink" xfId="3" builtinId="8"/>
    <cellStyle name="Hyperlink 2" xfId="1487" xr:uid="{AF40594C-F542-4A19-B1FC-F65A76F6D35C}"/>
    <cellStyle name="Normal" xfId="0" builtinId="0"/>
    <cellStyle name="Normal 2" xfId="4" xr:uid="{00000000-0005-0000-0000-000004000000}"/>
    <cellStyle name="Normal 2 10" xfId="100" xr:uid="{00000000-0005-0000-0000-000005000000}"/>
    <cellStyle name="Normal 2 10 2" xfId="328" xr:uid="{00000000-0005-0000-0000-000006000000}"/>
    <cellStyle name="Normal 2 10 2 2" xfId="817" xr:uid="{00000000-0005-0000-0000-000007000000}"/>
    <cellStyle name="Normal 2 10 2 3" xfId="1306" xr:uid="{00000000-0005-0000-0000-000008000000}"/>
    <cellStyle name="Normal 2 10 3" xfId="589" xr:uid="{00000000-0005-0000-0000-000009000000}"/>
    <cellStyle name="Normal 2 10 4" xfId="1078" xr:uid="{00000000-0005-0000-0000-00000A000000}"/>
    <cellStyle name="Normal 2 11" xfId="148" xr:uid="{00000000-0005-0000-0000-00000B000000}"/>
    <cellStyle name="Normal 2 11 2" xfId="376" xr:uid="{00000000-0005-0000-0000-00000C000000}"/>
    <cellStyle name="Normal 2 11 2 2" xfId="865" xr:uid="{00000000-0005-0000-0000-00000D000000}"/>
    <cellStyle name="Normal 2 11 2 3" xfId="1354" xr:uid="{00000000-0005-0000-0000-00000E000000}"/>
    <cellStyle name="Normal 2 11 3" xfId="637" xr:uid="{00000000-0005-0000-0000-00000F000000}"/>
    <cellStyle name="Normal 2 11 4" xfId="1126" xr:uid="{00000000-0005-0000-0000-000010000000}"/>
    <cellStyle name="Normal 2 12" xfId="181" xr:uid="{00000000-0005-0000-0000-000011000000}"/>
    <cellStyle name="Normal 2 12 2" xfId="409" xr:uid="{00000000-0005-0000-0000-000012000000}"/>
    <cellStyle name="Normal 2 12 2 2" xfId="898" xr:uid="{00000000-0005-0000-0000-000013000000}"/>
    <cellStyle name="Normal 2 12 2 3" xfId="1387" xr:uid="{00000000-0005-0000-0000-000014000000}"/>
    <cellStyle name="Normal 2 12 3" xfId="670" xr:uid="{00000000-0005-0000-0000-000015000000}"/>
    <cellStyle name="Normal 2 12 4" xfId="1159" xr:uid="{00000000-0005-0000-0000-000016000000}"/>
    <cellStyle name="Normal 2 13" xfId="214" xr:uid="{00000000-0005-0000-0000-000017000000}"/>
    <cellStyle name="Normal 2 13 2" xfId="442" xr:uid="{00000000-0005-0000-0000-000018000000}"/>
    <cellStyle name="Normal 2 13 2 2" xfId="931" xr:uid="{00000000-0005-0000-0000-000019000000}"/>
    <cellStyle name="Normal 2 13 2 3" xfId="1420" xr:uid="{00000000-0005-0000-0000-00001A000000}"/>
    <cellStyle name="Normal 2 13 3" xfId="703" xr:uid="{00000000-0005-0000-0000-00001B000000}"/>
    <cellStyle name="Normal 2 13 4" xfId="1192" xr:uid="{00000000-0005-0000-0000-00001C000000}"/>
    <cellStyle name="Normal 2 14" xfId="247" xr:uid="{00000000-0005-0000-0000-00001D000000}"/>
    <cellStyle name="Normal 2 14 2" xfId="475" xr:uid="{00000000-0005-0000-0000-00001E000000}"/>
    <cellStyle name="Normal 2 14 2 2" xfId="964" xr:uid="{00000000-0005-0000-0000-00001F000000}"/>
    <cellStyle name="Normal 2 14 2 3" xfId="1453" xr:uid="{00000000-0005-0000-0000-000020000000}"/>
    <cellStyle name="Normal 2 14 3" xfId="736" xr:uid="{00000000-0005-0000-0000-000021000000}"/>
    <cellStyle name="Normal 2 14 4" xfId="1225" xr:uid="{00000000-0005-0000-0000-000022000000}"/>
    <cellStyle name="Normal 2 15" xfId="52" xr:uid="{00000000-0005-0000-0000-000023000000}"/>
    <cellStyle name="Normal 2 15 2" xfId="541" xr:uid="{00000000-0005-0000-0000-000024000000}"/>
    <cellStyle name="Normal 2 15 3" xfId="1030" xr:uid="{00000000-0005-0000-0000-000025000000}"/>
    <cellStyle name="Normal 2 16" xfId="280" xr:uid="{00000000-0005-0000-0000-000026000000}"/>
    <cellStyle name="Normal 2 16 2" xfId="769" xr:uid="{00000000-0005-0000-0000-000027000000}"/>
    <cellStyle name="Normal 2 16 3" xfId="1258" xr:uid="{00000000-0005-0000-0000-000028000000}"/>
    <cellStyle name="Normal 2 17" xfId="508" xr:uid="{00000000-0005-0000-0000-000029000000}"/>
    <cellStyle name="Normal 2 18" xfId="997" xr:uid="{00000000-0005-0000-0000-00002A000000}"/>
    <cellStyle name="Normal 2 2" xfId="5" xr:uid="{00000000-0005-0000-0000-00002B000000}"/>
    <cellStyle name="Normal 2 2 2" xfId="17" xr:uid="{00000000-0005-0000-0000-00002C000000}"/>
    <cellStyle name="Normal 2 2 3" xfId="13" xr:uid="{00000000-0005-0000-0000-00002D000000}"/>
    <cellStyle name="Normal 2 3" xfId="18" xr:uid="{00000000-0005-0000-0000-00002E000000}"/>
    <cellStyle name="Normal 2 3 10" xfId="183" xr:uid="{00000000-0005-0000-0000-00002F000000}"/>
    <cellStyle name="Normal 2 3 10 2" xfId="411" xr:uid="{00000000-0005-0000-0000-000030000000}"/>
    <cellStyle name="Normal 2 3 10 2 2" xfId="900" xr:uid="{00000000-0005-0000-0000-000031000000}"/>
    <cellStyle name="Normal 2 3 10 2 3" xfId="1389" xr:uid="{00000000-0005-0000-0000-000032000000}"/>
    <cellStyle name="Normal 2 3 10 3" xfId="672" xr:uid="{00000000-0005-0000-0000-000033000000}"/>
    <cellStyle name="Normal 2 3 10 4" xfId="1161" xr:uid="{00000000-0005-0000-0000-000034000000}"/>
    <cellStyle name="Normal 2 3 11" xfId="216" xr:uid="{00000000-0005-0000-0000-000035000000}"/>
    <cellStyle name="Normal 2 3 11 2" xfId="444" xr:uid="{00000000-0005-0000-0000-000036000000}"/>
    <cellStyle name="Normal 2 3 11 2 2" xfId="933" xr:uid="{00000000-0005-0000-0000-000037000000}"/>
    <cellStyle name="Normal 2 3 11 2 3" xfId="1422" xr:uid="{00000000-0005-0000-0000-000038000000}"/>
    <cellStyle name="Normal 2 3 11 3" xfId="705" xr:uid="{00000000-0005-0000-0000-000039000000}"/>
    <cellStyle name="Normal 2 3 11 4" xfId="1194" xr:uid="{00000000-0005-0000-0000-00003A000000}"/>
    <cellStyle name="Normal 2 3 12" xfId="249" xr:uid="{00000000-0005-0000-0000-00003B000000}"/>
    <cellStyle name="Normal 2 3 12 2" xfId="477" xr:uid="{00000000-0005-0000-0000-00003C000000}"/>
    <cellStyle name="Normal 2 3 12 2 2" xfId="966" xr:uid="{00000000-0005-0000-0000-00003D000000}"/>
    <cellStyle name="Normal 2 3 12 2 3" xfId="1455" xr:uid="{00000000-0005-0000-0000-00003E000000}"/>
    <cellStyle name="Normal 2 3 12 3" xfId="738" xr:uid="{00000000-0005-0000-0000-00003F000000}"/>
    <cellStyle name="Normal 2 3 12 4" xfId="1227" xr:uid="{00000000-0005-0000-0000-000040000000}"/>
    <cellStyle name="Normal 2 3 13" xfId="53" xr:uid="{00000000-0005-0000-0000-000041000000}"/>
    <cellStyle name="Normal 2 3 13 2" xfId="542" xr:uid="{00000000-0005-0000-0000-000042000000}"/>
    <cellStyle name="Normal 2 3 13 3" xfId="1031" xr:uid="{00000000-0005-0000-0000-000043000000}"/>
    <cellStyle name="Normal 2 3 14" xfId="281" xr:uid="{00000000-0005-0000-0000-000044000000}"/>
    <cellStyle name="Normal 2 3 14 2" xfId="770" xr:uid="{00000000-0005-0000-0000-000045000000}"/>
    <cellStyle name="Normal 2 3 14 3" xfId="1259" xr:uid="{00000000-0005-0000-0000-000046000000}"/>
    <cellStyle name="Normal 2 3 15" xfId="510" xr:uid="{00000000-0005-0000-0000-000047000000}"/>
    <cellStyle name="Normal 2 3 16" xfId="999" xr:uid="{00000000-0005-0000-0000-000048000000}"/>
    <cellStyle name="Normal 2 3 2" xfId="23" xr:uid="{00000000-0005-0000-0000-000049000000}"/>
    <cellStyle name="Normal 2 3 2 10" xfId="218" xr:uid="{00000000-0005-0000-0000-00004A000000}"/>
    <cellStyle name="Normal 2 3 2 10 2" xfId="446" xr:uid="{00000000-0005-0000-0000-00004B000000}"/>
    <cellStyle name="Normal 2 3 2 10 2 2" xfId="935" xr:uid="{00000000-0005-0000-0000-00004C000000}"/>
    <cellStyle name="Normal 2 3 2 10 2 3" xfId="1424" xr:uid="{00000000-0005-0000-0000-00004D000000}"/>
    <cellStyle name="Normal 2 3 2 10 3" xfId="707" xr:uid="{00000000-0005-0000-0000-00004E000000}"/>
    <cellStyle name="Normal 2 3 2 10 4" xfId="1196" xr:uid="{00000000-0005-0000-0000-00004F000000}"/>
    <cellStyle name="Normal 2 3 2 11" xfId="251" xr:uid="{00000000-0005-0000-0000-000050000000}"/>
    <cellStyle name="Normal 2 3 2 11 2" xfId="479" xr:uid="{00000000-0005-0000-0000-000051000000}"/>
    <cellStyle name="Normal 2 3 2 11 2 2" xfId="968" xr:uid="{00000000-0005-0000-0000-000052000000}"/>
    <cellStyle name="Normal 2 3 2 11 2 3" xfId="1457" xr:uid="{00000000-0005-0000-0000-000053000000}"/>
    <cellStyle name="Normal 2 3 2 11 3" xfId="740" xr:uid="{00000000-0005-0000-0000-000054000000}"/>
    <cellStyle name="Normal 2 3 2 11 4" xfId="1229" xr:uid="{00000000-0005-0000-0000-000055000000}"/>
    <cellStyle name="Normal 2 3 2 12" xfId="55" xr:uid="{00000000-0005-0000-0000-000056000000}"/>
    <cellStyle name="Normal 2 3 2 12 2" xfId="544" xr:uid="{00000000-0005-0000-0000-000057000000}"/>
    <cellStyle name="Normal 2 3 2 12 3" xfId="1033" xr:uid="{00000000-0005-0000-0000-000058000000}"/>
    <cellStyle name="Normal 2 3 2 13" xfId="283" xr:uid="{00000000-0005-0000-0000-000059000000}"/>
    <cellStyle name="Normal 2 3 2 13 2" xfId="772" xr:uid="{00000000-0005-0000-0000-00005A000000}"/>
    <cellStyle name="Normal 2 3 2 13 3" xfId="1261" xr:uid="{00000000-0005-0000-0000-00005B000000}"/>
    <cellStyle name="Normal 2 3 2 14" xfId="512" xr:uid="{00000000-0005-0000-0000-00005C000000}"/>
    <cellStyle name="Normal 2 3 2 15" xfId="1001" xr:uid="{00000000-0005-0000-0000-00005D000000}"/>
    <cellStyle name="Normal 2 3 2 2" xfId="24" xr:uid="{00000000-0005-0000-0000-00005E000000}"/>
    <cellStyle name="Normal 2 3 2 2 10" xfId="284" xr:uid="{00000000-0005-0000-0000-00005F000000}"/>
    <cellStyle name="Normal 2 3 2 2 10 2" xfId="773" xr:uid="{00000000-0005-0000-0000-000060000000}"/>
    <cellStyle name="Normal 2 3 2 2 10 3" xfId="1262" xr:uid="{00000000-0005-0000-0000-000061000000}"/>
    <cellStyle name="Normal 2 3 2 2 11" xfId="513" xr:uid="{00000000-0005-0000-0000-000062000000}"/>
    <cellStyle name="Normal 2 3 2 2 12" xfId="1002" xr:uid="{00000000-0005-0000-0000-000063000000}"/>
    <cellStyle name="Normal 2 3 2 2 2" xfId="40" xr:uid="{00000000-0005-0000-0000-000064000000}"/>
    <cellStyle name="Normal 2 3 2 2 2 10" xfId="1018" xr:uid="{00000000-0005-0000-0000-000065000000}"/>
    <cellStyle name="Normal 2 3 2 2 2 2" xfId="120" xr:uid="{00000000-0005-0000-0000-000066000000}"/>
    <cellStyle name="Normal 2 3 2 2 2 2 2" xfId="348" xr:uid="{00000000-0005-0000-0000-000067000000}"/>
    <cellStyle name="Normal 2 3 2 2 2 2 2 2" xfId="837" xr:uid="{00000000-0005-0000-0000-000068000000}"/>
    <cellStyle name="Normal 2 3 2 2 2 2 2 3" xfId="1326" xr:uid="{00000000-0005-0000-0000-000069000000}"/>
    <cellStyle name="Normal 2 3 2 2 2 2 3" xfId="609" xr:uid="{00000000-0005-0000-0000-00006A000000}"/>
    <cellStyle name="Normal 2 3 2 2 2 2 4" xfId="1098" xr:uid="{00000000-0005-0000-0000-00006B000000}"/>
    <cellStyle name="Normal 2 3 2 2 2 3" xfId="169" xr:uid="{00000000-0005-0000-0000-00006C000000}"/>
    <cellStyle name="Normal 2 3 2 2 2 3 2" xfId="397" xr:uid="{00000000-0005-0000-0000-00006D000000}"/>
    <cellStyle name="Normal 2 3 2 2 2 3 2 2" xfId="886" xr:uid="{00000000-0005-0000-0000-00006E000000}"/>
    <cellStyle name="Normal 2 3 2 2 2 3 2 3" xfId="1375" xr:uid="{00000000-0005-0000-0000-00006F000000}"/>
    <cellStyle name="Normal 2 3 2 2 2 3 3" xfId="658" xr:uid="{00000000-0005-0000-0000-000070000000}"/>
    <cellStyle name="Normal 2 3 2 2 2 3 4" xfId="1147" xr:uid="{00000000-0005-0000-0000-000071000000}"/>
    <cellStyle name="Normal 2 3 2 2 2 4" xfId="202" xr:uid="{00000000-0005-0000-0000-000072000000}"/>
    <cellStyle name="Normal 2 3 2 2 2 4 2" xfId="430" xr:uid="{00000000-0005-0000-0000-000073000000}"/>
    <cellStyle name="Normal 2 3 2 2 2 4 2 2" xfId="919" xr:uid="{00000000-0005-0000-0000-000074000000}"/>
    <cellStyle name="Normal 2 3 2 2 2 4 2 3" xfId="1408" xr:uid="{00000000-0005-0000-0000-000075000000}"/>
    <cellStyle name="Normal 2 3 2 2 2 4 3" xfId="691" xr:uid="{00000000-0005-0000-0000-000076000000}"/>
    <cellStyle name="Normal 2 3 2 2 2 4 4" xfId="1180" xr:uid="{00000000-0005-0000-0000-000077000000}"/>
    <cellStyle name="Normal 2 3 2 2 2 5" xfId="235" xr:uid="{00000000-0005-0000-0000-000078000000}"/>
    <cellStyle name="Normal 2 3 2 2 2 5 2" xfId="463" xr:uid="{00000000-0005-0000-0000-000079000000}"/>
    <cellStyle name="Normal 2 3 2 2 2 5 2 2" xfId="952" xr:uid="{00000000-0005-0000-0000-00007A000000}"/>
    <cellStyle name="Normal 2 3 2 2 2 5 2 3" xfId="1441" xr:uid="{00000000-0005-0000-0000-00007B000000}"/>
    <cellStyle name="Normal 2 3 2 2 2 5 3" xfId="724" xr:uid="{00000000-0005-0000-0000-00007C000000}"/>
    <cellStyle name="Normal 2 3 2 2 2 5 4" xfId="1213" xr:uid="{00000000-0005-0000-0000-00007D000000}"/>
    <cellStyle name="Normal 2 3 2 2 2 6" xfId="268" xr:uid="{00000000-0005-0000-0000-00007E000000}"/>
    <cellStyle name="Normal 2 3 2 2 2 6 2" xfId="496" xr:uid="{00000000-0005-0000-0000-00007F000000}"/>
    <cellStyle name="Normal 2 3 2 2 2 6 2 2" xfId="985" xr:uid="{00000000-0005-0000-0000-000080000000}"/>
    <cellStyle name="Normal 2 3 2 2 2 6 2 3" xfId="1474" xr:uid="{00000000-0005-0000-0000-000081000000}"/>
    <cellStyle name="Normal 2 3 2 2 2 6 3" xfId="757" xr:uid="{00000000-0005-0000-0000-000082000000}"/>
    <cellStyle name="Normal 2 3 2 2 2 6 4" xfId="1246" xr:uid="{00000000-0005-0000-0000-000083000000}"/>
    <cellStyle name="Normal 2 3 2 2 2 7" xfId="72" xr:uid="{00000000-0005-0000-0000-000084000000}"/>
    <cellStyle name="Normal 2 3 2 2 2 7 2" xfId="561" xr:uid="{00000000-0005-0000-0000-000085000000}"/>
    <cellStyle name="Normal 2 3 2 2 2 7 3" xfId="1050" xr:uid="{00000000-0005-0000-0000-000086000000}"/>
    <cellStyle name="Normal 2 3 2 2 2 8" xfId="300" xr:uid="{00000000-0005-0000-0000-000087000000}"/>
    <cellStyle name="Normal 2 3 2 2 2 8 2" xfId="789" xr:uid="{00000000-0005-0000-0000-000088000000}"/>
    <cellStyle name="Normal 2 3 2 2 2 8 3" xfId="1278" xr:uid="{00000000-0005-0000-0000-000089000000}"/>
    <cellStyle name="Normal 2 3 2 2 2 9" xfId="529" xr:uid="{00000000-0005-0000-0000-00008A000000}"/>
    <cellStyle name="Normal 2 3 2 2 3" xfId="88" xr:uid="{00000000-0005-0000-0000-00008B000000}"/>
    <cellStyle name="Normal 2 3 2 2 3 2" xfId="136" xr:uid="{00000000-0005-0000-0000-00008C000000}"/>
    <cellStyle name="Normal 2 3 2 2 3 2 2" xfId="364" xr:uid="{00000000-0005-0000-0000-00008D000000}"/>
    <cellStyle name="Normal 2 3 2 2 3 2 2 2" xfId="853" xr:uid="{00000000-0005-0000-0000-00008E000000}"/>
    <cellStyle name="Normal 2 3 2 2 3 2 2 3" xfId="1342" xr:uid="{00000000-0005-0000-0000-00008F000000}"/>
    <cellStyle name="Normal 2 3 2 2 3 2 3" xfId="625" xr:uid="{00000000-0005-0000-0000-000090000000}"/>
    <cellStyle name="Normal 2 3 2 2 3 2 4" xfId="1114" xr:uid="{00000000-0005-0000-0000-000091000000}"/>
    <cellStyle name="Normal 2 3 2 2 3 3" xfId="316" xr:uid="{00000000-0005-0000-0000-000092000000}"/>
    <cellStyle name="Normal 2 3 2 2 3 3 2" xfId="805" xr:uid="{00000000-0005-0000-0000-000093000000}"/>
    <cellStyle name="Normal 2 3 2 2 3 3 3" xfId="1294" xr:uid="{00000000-0005-0000-0000-000094000000}"/>
    <cellStyle name="Normal 2 3 2 2 3 4" xfId="577" xr:uid="{00000000-0005-0000-0000-000095000000}"/>
    <cellStyle name="Normal 2 3 2 2 3 5" xfId="1066" xr:uid="{00000000-0005-0000-0000-000096000000}"/>
    <cellStyle name="Normal 2 3 2 2 4" xfId="104" xr:uid="{00000000-0005-0000-0000-000097000000}"/>
    <cellStyle name="Normal 2 3 2 2 4 2" xfId="332" xr:uid="{00000000-0005-0000-0000-000098000000}"/>
    <cellStyle name="Normal 2 3 2 2 4 2 2" xfId="821" xr:uid="{00000000-0005-0000-0000-000099000000}"/>
    <cellStyle name="Normal 2 3 2 2 4 2 3" xfId="1310" xr:uid="{00000000-0005-0000-0000-00009A000000}"/>
    <cellStyle name="Normal 2 3 2 2 4 3" xfId="593" xr:uid="{00000000-0005-0000-0000-00009B000000}"/>
    <cellStyle name="Normal 2 3 2 2 4 4" xfId="1082" xr:uid="{00000000-0005-0000-0000-00009C000000}"/>
    <cellStyle name="Normal 2 3 2 2 5" xfId="153" xr:uid="{00000000-0005-0000-0000-00009D000000}"/>
    <cellStyle name="Normal 2 3 2 2 5 2" xfId="381" xr:uid="{00000000-0005-0000-0000-00009E000000}"/>
    <cellStyle name="Normal 2 3 2 2 5 2 2" xfId="870" xr:uid="{00000000-0005-0000-0000-00009F000000}"/>
    <cellStyle name="Normal 2 3 2 2 5 2 3" xfId="1359" xr:uid="{00000000-0005-0000-0000-0000A0000000}"/>
    <cellStyle name="Normal 2 3 2 2 5 3" xfId="642" xr:uid="{00000000-0005-0000-0000-0000A1000000}"/>
    <cellStyle name="Normal 2 3 2 2 5 4" xfId="1131" xr:uid="{00000000-0005-0000-0000-0000A2000000}"/>
    <cellStyle name="Normal 2 3 2 2 6" xfId="186" xr:uid="{00000000-0005-0000-0000-0000A3000000}"/>
    <cellStyle name="Normal 2 3 2 2 6 2" xfId="414" xr:uid="{00000000-0005-0000-0000-0000A4000000}"/>
    <cellStyle name="Normal 2 3 2 2 6 2 2" xfId="903" xr:uid="{00000000-0005-0000-0000-0000A5000000}"/>
    <cellStyle name="Normal 2 3 2 2 6 2 3" xfId="1392" xr:uid="{00000000-0005-0000-0000-0000A6000000}"/>
    <cellStyle name="Normal 2 3 2 2 6 3" xfId="675" xr:uid="{00000000-0005-0000-0000-0000A7000000}"/>
    <cellStyle name="Normal 2 3 2 2 6 4" xfId="1164" xr:uid="{00000000-0005-0000-0000-0000A8000000}"/>
    <cellStyle name="Normal 2 3 2 2 7" xfId="219" xr:uid="{00000000-0005-0000-0000-0000A9000000}"/>
    <cellStyle name="Normal 2 3 2 2 7 2" xfId="447" xr:uid="{00000000-0005-0000-0000-0000AA000000}"/>
    <cellStyle name="Normal 2 3 2 2 7 2 2" xfId="936" xr:uid="{00000000-0005-0000-0000-0000AB000000}"/>
    <cellStyle name="Normal 2 3 2 2 7 2 3" xfId="1425" xr:uid="{00000000-0005-0000-0000-0000AC000000}"/>
    <cellStyle name="Normal 2 3 2 2 7 3" xfId="708" xr:uid="{00000000-0005-0000-0000-0000AD000000}"/>
    <cellStyle name="Normal 2 3 2 2 7 4" xfId="1197" xr:uid="{00000000-0005-0000-0000-0000AE000000}"/>
    <cellStyle name="Normal 2 3 2 2 8" xfId="252" xr:uid="{00000000-0005-0000-0000-0000AF000000}"/>
    <cellStyle name="Normal 2 3 2 2 8 2" xfId="480" xr:uid="{00000000-0005-0000-0000-0000B0000000}"/>
    <cellStyle name="Normal 2 3 2 2 8 2 2" xfId="969" xr:uid="{00000000-0005-0000-0000-0000B1000000}"/>
    <cellStyle name="Normal 2 3 2 2 8 2 3" xfId="1458" xr:uid="{00000000-0005-0000-0000-0000B2000000}"/>
    <cellStyle name="Normal 2 3 2 2 8 3" xfId="741" xr:uid="{00000000-0005-0000-0000-0000B3000000}"/>
    <cellStyle name="Normal 2 3 2 2 8 4" xfId="1230" xr:uid="{00000000-0005-0000-0000-0000B4000000}"/>
    <cellStyle name="Normal 2 3 2 2 9" xfId="56" xr:uid="{00000000-0005-0000-0000-0000B5000000}"/>
    <cellStyle name="Normal 2 3 2 2 9 2" xfId="545" xr:uid="{00000000-0005-0000-0000-0000B6000000}"/>
    <cellStyle name="Normal 2 3 2 2 9 3" xfId="1034" xr:uid="{00000000-0005-0000-0000-0000B7000000}"/>
    <cellStyle name="Normal 2 3 2 3" xfId="25" xr:uid="{00000000-0005-0000-0000-0000B8000000}"/>
    <cellStyle name="Normal 2 3 2 3 10" xfId="285" xr:uid="{00000000-0005-0000-0000-0000B9000000}"/>
    <cellStyle name="Normal 2 3 2 3 10 2" xfId="774" xr:uid="{00000000-0005-0000-0000-0000BA000000}"/>
    <cellStyle name="Normal 2 3 2 3 10 3" xfId="1263" xr:uid="{00000000-0005-0000-0000-0000BB000000}"/>
    <cellStyle name="Normal 2 3 2 3 11" xfId="514" xr:uid="{00000000-0005-0000-0000-0000BC000000}"/>
    <cellStyle name="Normal 2 3 2 3 12" xfId="1003" xr:uid="{00000000-0005-0000-0000-0000BD000000}"/>
    <cellStyle name="Normal 2 3 2 3 2" xfId="41" xr:uid="{00000000-0005-0000-0000-0000BE000000}"/>
    <cellStyle name="Normal 2 3 2 3 2 10" xfId="1019" xr:uid="{00000000-0005-0000-0000-0000BF000000}"/>
    <cellStyle name="Normal 2 3 2 3 2 2" xfId="121" xr:uid="{00000000-0005-0000-0000-0000C0000000}"/>
    <cellStyle name="Normal 2 3 2 3 2 2 2" xfId="349" xr:uid="{00000000-0005-0000-0000-0000C1000000}"/>
    <cellStyle name="Normal 2 3 2 3 2 2 2 2" xfId="838" xr:uid="{00000000-0005-0000-0000-0000C2000000}"/>
    <cellStyle name="Normal 2 3 2 3 2 2 2 3" xfId="1327" xr:uid="{00000000-0005-0000-0000-0000C3000000}"/>
    <cellStyle name="Normal 2 3 2 3 2 2 3" xfId="610" xr:uid="{00000000-0005-0000-0000-0000C4000000}"/>
    <cellStyle name="Normal 2 3 2 3 2 2 4" xfId="1099" xr:uid="{00000000-0005-0000-0000-0000C5000000}"/>
    <cellStyle name="Normal 2 3 2 3 2 3" xfId="170" xr:uid="{00000000-0005-0000-0000-0000C6000000}"/>
    <cellStyle name="Normal 2 3 2 3 2 3 2" xfId="398" xr:uid="{00000000-0005-0000-0000-0000C7000000}"/>
    <cellStyle name="Normal 2 3 2 3 2 3 2 2" xfId="887" xr:uid="{00000000-0005-0000-0000-0000C8000000}"/>
    <cellStyle name="Normal 2 3 2 3 2 3 2 3" xfId="1376" xr:uid="{00000000-0005-0000-0000-0000C9000000}"/>
    <cellStyle name="Normal 2 3 2 3 2 3 3" xfId="659" xr:uid="{00000000-0005-0000-0000-0000CA000000}"/>
    <cellStyle name="Normal 2 3 2 3 2 3 4" xfId="1148" xr:uid="{00000000-0005-0000-0000-0000CB000000}"/>
    <cellStyle name="Normal 2 3 2 3 2 4" xfId="203" xr:uid="{00000000-0005-0000-0000-0000CC000000}"/>
    <cellStyle name="Normal 2 3 2 3 2 4 2" xfId="431" xr:uid="{00000000-0005-0000-0000-0000CD000000}"/>
    <cellStyle name="Normal 2 3 2 3 2 4 2 2" xfId="920" xr:uid="{00000000-0005-0000-0000-0000CE000000}"/>
    <cellStyle name="Normal 2 3 2 3 2 4 2 3" xfId="1409" xr:uid="{00000000-0005-0000-0000-0000CF000000}"/>
    <cellStyle name="Normal 2 3 2 3 2 4 3" xfId="692" xr:uid="{00000000-0005-0000-0000-0000D0000000}"/>
    <cellStyle name="Normal 2 3 2 3 2 4 4" xfId="1181" xr:uid="{00000000-0005-0000-0000-0000D1000000}"/>
    <cellStyle name="Normal 2 3 2 3 2 5" xfId="236" xr:uid="{00000000-0005-0000-0000-0000D2000000}"/>
    <cellStyle name="Normal 2 3 2 3 2 5 2" xfId="464" xr:uid="{00000000-0005-0000-0000-0000D3000000}"/>
    <cellStyle name="Normal 2 3 2 3 2 5 2 2" xfId="953" xr:uid="{00000000-0005-0000-0000-0000D4000000}"/>
    <cellStyle name="Normal 2 3 2 3 2 5 2 3" xfId="1442" xr:uid="{00000000-0005-0000-0000-0000D5000000}"/>
    <cellStyle name="Normal 2 3 2 3 2 5 3" xfId="725" xr:uid="{00000000-0005-0000-0000-0000D6000000}"/>
    <cellStyle name="Normal 2 3 2 3 2 5 4" xfId="1214" xr:uid="{00000000-0005-0000-0000-0000D7000000}"/>
    <cellStyle name="Normal 2 3 2 3 2 6" xfId="269" xr:uid="{00000000-0005-0000-0000-0000D8000000}"/>
    <cellStyle name="Normal 2 3 2 3 2 6 2" xfId="497" xr:uid="{00000000-0005-0000-0000-0000D9000000}"/>
    <cellStyle name="Normal 2 3 2 3 2 6 2 2" xfId="986" xr:uid="{00000000-0005-0000-0000-0000DA000000}"/>
    <cellStyle name="Normal 2 3 2 3 2 6 2 3" xfId="1475" xr:uid="{00000000-0005-0000-0000-0000DB000000}"/>
    <cellStyle name="Normal 2 3 2 3 2 6 3" xfId="758" xr:uid="{00000000-0005-0000-0000-0000DC000000}"/>
    <cellStyle name="Normal 2 3 2 3 2 6 4" xfId="1247" xr:uid="{00000000-0005-0000-0000-0000DD000000}"/>
    <cellStyle name="Normal 2 3 2 3 2 7" xfId="73" xr:uid="{00000000-0005-0000-0000-0000DE000000}"/>
    <cellStyle name="Normal 2 3 2 3 2 7 2" xfId="562" xr:uid="{00000000-0005-0000-0000-0000DF000000}"/>
    <cellStyle name="Normal 2 3 2 3 2 7 3" xfId="1051" xr:uid="{00000000-0005-0000-0000-0000E0000000}"/>
    <cellStyle name="Normal 2 3 2 3 2 8" xfId="301" xr:uid="{00000000-0005-0000-0000-0000E1000000}"/>
    <cellStyle name="Normal 2 3 2 3 2 8 2" xfId="790" xr:uid="{00000000-0005-0000-0000-0000E2000000}"/>
    <cellStyle name="Normal 2 3 2 3 2 8 3" xfId="1279" xr:uid="{00000000-0005-0000-0000-0000E3000000}"/>
    <cellStyle name="Normal 2 3 2 3 2 9" xfId="530" xr:uid="{00000000-0005-0000-0000-0000E4000000}"/>
    <cellStyle name="Normal 2 3 2 3 3" xfId="89" xr:uid="{00000000-0005-0000-0000-0000E5000000}"/>
    <cellStyle name="Normal 2 3 2 3 3 2" xfId="137" xr:uid="{00000000-0005-0000-0000-0000E6000000}"/>
    <cellStyle name="Normal 2 3 2 3 3 2 2" xfId="365" xr:uid="{00000000-0005-0000-0000-0000E7000000}"/>
    <cellStyle name="Normal 2 3 2 3 3 2 2 2" xfId="854" xr:uid="{00000000-0005-0000-0000-0000E8000000}"/>
    <cellStyle name="Normal 2 3 2 3 3 2 2 3" xfId="1343" xr:uid="{00000000-0005-0000-0000-0000E9000000}"/>
    <cellStyle name="Normal 2 3 2 3 3 2 3" xfId="626" xr:uid="{00000000-0005-0000-0000-0000EA000000}"/>
    <cellStyle name="Normal 2 3 2 3 3 2 4" xfId="1115" xr:uid="{00000000-0005-0000-0000-0000EB000000}"/>
    <cellStyle name="Normal 2 3 2 3 3 3" xfId="317" xr:uid="{00000000-0005-0000-0000-0000EC000000}"/>
    <cellStyle name="Normal 2 3 2 3 3 3 2" xfId="806" xr:uid="{00000000-0005-0000-0000-0000ED000000}"/>
    <cellStyle name="Normal 2 3 2 3 3 3 3" xfId="1295" xr:uid="{00000000-0005-0000-0000-0000EE000000}"/>
    <cellStyle name="Normal 2 3 2 3 3 4" xfId="578" xr:uid="{00000000-0005-0000-0000-0000EF000000}"/>
    <cellStyle name="Normal 2 3 2 3 3 5" xfId="1067" xr:uid="{00000000-0005-0000-0000-0000F0000000}"/>
    <cellStyle name="Normal 2 3 2 3 4" xfId="105" xr:uid="{00000000-0005-0000-0000-0000F1000000}"/>
    <cellStyle name="Normal 2 3 2 3 4 2" xfId="333" xr:uid="{00000000-0005-0000-0000-0000F2000000}"/>
    <cellStyle name="Normal 2 3 2 3 4 2 2" xfId="822" xr:uid="{00000000-0005-0000-0000-0000F3000000}"/>
    <cellStyle name="Normal 2 3 2 3 4 2 3" xfId="1311" xr:uid="{00000000-0005-0000-0000-0000F4000000}"/>
    <cellStyle name="Normal 2 3 2 3 4 3" xfId="594" xr:uid="{00000000-0005-0000-0000-0000F5000000}"/>
    <cellStyle name="Normal 2 3 2 3 4 4" xfId="1083" xr:uid="{00000000-0005-0000-0000-0000F6000000}"/>
    <cellStyle name="Normal 2 3 2 3 5" xfId="154" xr:uid="{00000000-0005-0000-0000-0000F7000000}"/>
    <cellStyle name="Normal 2 3 2 3 5 2" xfId="382" xr:uid="{00000000-0005-0000-0000-0000F8000000}"/>
    <cellStyle name="Normal 2 3 2 3 5 2 2" xfId="871" xr:uid="{00000000-0005-0000-0000-0000F9000000}"/>
    <cellStyle name="Normal 2 3 2 3 5 2 3" xfId="1360" xr:uid="{00000000-0005-0000-0000-0000FA000000}"/>
    <cellStyle name="Normal 2 3 2 3 5 3" xfId="643" xr:uid="{00000000-0005-0000-0000-0000FB000000}"/>
    <cellStyle name="Normal 2 3 2 3 5 4" xfId="1132" xr:uid="{00000000-0005-0000-0000-0000FC000000}"/>
    <cellStyle name="Normal 2 3 2 3 6" xfId="187" xr:uid="{00000000-0005-0000-0000-0000FD000000}"/>
    <cellStyle name="Normal 2 3 2 3 6 2" xfId="415" xr:uid="{00000000-0005-0000-0000-0000FE000000}"/>
    <cellStyle name="Normal 2 3 2 3 6 2 2" xfId="904" xr:uid="{00000000-0005-0000-0000-0000FF000000}"/>
    <cellStyle name="Normal 2 3 2 3 6 2 3" xfId="1393" xr:uid="{00000000-0005-0000-0000-000000010000}"/>
    <cellStyle name="Normal 2 3 2 3 6 3" xfId="676" xr:uid="{00000000-0005-0000-0000-000001010000}"/>
    <cellStyle name="Normal 2 3 2 3 6 4" xfId="1165" xr:uid="{00000000-0005-0000-0000-000002010000}"/>
    <cellStyle name="Normal 2 3 2 3 7" xfId="220" xr:uid="{00000000-0005-0000-0000-000003010000}"/>
    <cellStyle name="Normal 2 3 2 3 7 2" xfId="448" xr:uid="{00000000-0005-0000-0000-000004010000}"/>
    <cellStyle name="Normal 2 3 2 3 7 2 2" xfId="937" xr:uid="{00000000-0005-0000-0000-000005010000}"/>
    <cellStyle name="Normal 2 3 2 3 7 2 3" xfId="1426" xr:uid="{00000000-0005-0000-0000-000006010000}"/>
    <cellStyle name="Normal 2 3 2 3 7 3" xfId="709" xr:uid="{00000000-0005-0000-0000-000007010000}"/>
    <cellStyle name="Normal 2 3 2 3 7 4" xfId="1198" xr:uid="{00000000-0005-0000-0000-000008010000}"/>
    <cellStyle name="Normal 2 3 2 3 8" xfId="253" xr:uid="{00000000-0005-0000-0000-000009010000}"/>
    <cellStyle name="Normal 2 3 2 3 8 2" xfId="481" xr:uid="{00000000-0005-0000-0000-00000A010000}"/>
    <cellStyle name="Normal 2 3 2 3 8 2 2" xfId="970" xr:uid="{00000000-0005-0000-0000-00000B010000}"/>
    <cellStyle name="Normal 2 3 2 3 8 2 3" xfId="1459" xr:uid="{00000000-0005-0000-0000-00000C010000}"/>
    <cellStyle name="Normal 2 3 2 3 8 3" xfId="742" xr:uid="{00000000-0005-0000-0000-00000D010000}"/>
    <cellStyle name="Normal 2 3 2 3 8 4" xfId="1231" xr:uid="{00000000-0005-0000-0000-00000E010000}"/>
    <cellStyle name="Normal 2 3 2 3 9" xfId="57" xr:uid="{00000000-0005-0000-0000-00000F010000}"/>
    <cellStyle name="Normal 2 3 2 3 9 2" xfId="546" xr:uid="{00000000-0005-0000-0000-000010010000}"/>
    <cellStyle name="Normal 2 3 2 3 9 3" xfId="1035" xr:uid="{00000000-0005-0000-0000-000011010000}"/>
    <cellStyle name="Normal 2 3 2 4" xfId="26" xr:uid="{00000000-0005-0000-0000-000012010000}"/>
    <cellStyle name="Normal 2 3 2 4 10" xfId="286" xr:uid="{00000000-0005-0000-0000-000013010000}"/>
    <cellStyle name="Normal 2 3 2 4 10 2" xfId="775" xr:uid="{00000000-0005-0000-0000-000014010000}"/>
    <cellStyle name="Normal 2 3 2 4 10 3" xfId="1264" xr:uid="{00000000-0005-0000-0000-000015010000}"/>
    <cellStyle name="Normal 2 3 2 4 11" xfId="515" xr:uid="{00000000-0005-0000-0000-000016010000}"/>
    <cellStyle name="Normal 2 3 2 4 12" xfId="1004" xr:uid="{00000000-0005-0000-0000-000017010000}"/>
    <cellStyle name="Normal 2 3 2 4 2" xfId="42" xr:uid="{00000000-0005-0000-0000-000018010000}"/>
    <cellStyle name="Normal 2 3 2 4 2 10" xfId="1020" xr:uid="{00000000-0005-0000-0000-000019010000}"/>
    <cellStyle name="Normal 2 3 2 4 2 2" xfId="122" xr:uid="{00000000-0005-0000-0000-00001A010000}"/>
    <cellStyle name="Normal 2 3 2 4 2 2 2" xfId="350" xr:uid="{00000000-0005-0000-0000-00001B010000}"/>
    <cellStyle name="Normal 2 3 2 4 2 2 2 2" xfId="839" xr:uid="{00000000-0005-0000-0000-00001C010000}"/>
    <cellStyle name="Normal 2 3 2 4 2 2 2 3" xfId="1328" xr:uid="{00000000-0005-0000-0000-00001D010000}"/>
    <cellStyle name="Normal 2 3 2 4 2 2 3" xfId="611" xr:uid="{00000000-0005-0000-0000-00001E010000}"/>
    <cellStyle name="Normal 2 3 2 4 2 2 4" xfId="1100" xr:uid="{00000000-0005-0000-0000-00001F010000}"/>
    <cellStyle name="Normal 2 3 2 4 2 3" xfId="171" xr:uid="{00000000-0005-0000-0000-000020010000}"/>
    <cellStyle name="Normal 2 3 2 4 2 3 2" xfId="399" xr:uid="{00000000-0005-0000-0000-000021010000}"/>
    <cellStyle name="Normal 2 3 2 4 2 3 2 2" xfId="888" xr:uid="{00000000-0005-0000-0000-000022010000}"/>
    <cellStyle name="Normal 2 3 2 4 2 3 2 3" xfId="1377" xr:uid="{00000000-0005-0000-0000-000023010000}"/>
    <cellStyle name="Normal 2 3 2 4 2 3 3" xfId="660" xr:uid="{00000000-0005-0000-0000-000024010000}"/>
    <cellStyle name="Normal 2 3 2 4 2 3 4" xfId="1149" xr:uid="{00000000-0005-0000-0000-000025010000}"/>
    <cellStyle name="Normal 2 3 2 4 2 4" xfId="204" xr:uid="{00000000-0005-0000-0000-000026010000}"/>
    <cellStyle name="Normal 2 3 2 4 2 4 2" xfId="432" xr:uid="{00000000-0005-0000-0000-000027010000}"/>
    <cellStyle name="Normal 2 3 2 4 2 4 2 2" xfId="921" xr:uid="{00000000-0005-0000-0000-000028010000}"/>
    <cellStyle name="Normal 2 3 2 4 2 4 2 3" xfId="1410" xr:uid="{00000000-0005-0000-0000-000029010000}"/>
    <cellStyle name="Normal 2 3 2 4 2 4 3" xfId="693" xr:uid="{00000000-0005-0000-0000-00002A010000}"/>
    <cellStyle name="Normal 2 3 2 4 2 4 4" xfId="1182" xr:uid="{00000000-0005-0000-0000-00002B010000}"/>
    <cellStyle name="Normal 2 3 2 4 2 5" xfId="237" xr:uid="{00000000-0005-0000-0000-00002C010000}"/>
    <cellStyle name="Normal 2 3 2 4 2 5 2" xfId="465" xr:uid="{00000000-0005-0000-0000-00002D010000}"/>
    <cellStyle name="Normal 2 3 2 4 2 5 2 2" xfId="954" xr:uid="{00000000-0005-0000-0000-00002E010000}"/>
    <cellStyle name="Normal 2 3 2 4 2 5 2 3" xfId="1443" xr:uid="{00000000-0005-0000-0000-00002F010000}"/>
    <cellStyle name="Normal 2 3 2 4 2 5 3" xfId="726" xr:uid="{00000000-0005-0000-0000-000030010000}"/>
    <cellStyle name="Normal 2 3 2 4 2 5 4" xfId="1215" xr:uid="{00000000-0005-0000-0000-000031010000}"/>
    <cellStyle name="Normal 2 3 2 4 2 6" xfId="270" xr:uid="{00000000-0005-0000-0000-000032010000}"/>
    <cellStyle name="Normal 2 3 2 4 2 6 2" xfId="498" xr:uid="{00000000-0005-0000-0000-000033010000}"/>
    <cellStyle name="Normal 2 3 2 4 2 6 2 2" xfId="987" xr:uid="{00000000-0005-0000-0000-000034010000}"/>
    <cellStyle name="Normal 2 3 2 4 2 6 2 3" xfId="1476" xr:uid="{00000000-0005-0000-0000-000035010000}"/>
    <cellStyle name="Normal 2 3 2 4 2 6 3" xfId="759" xr:uid="{00000000-0005-0000-0000-000036010000}"/>
    <cellStyle name="Normal 2 3 2 4 2 6 4" xfId="1248" xr:uid="{00000000-0005-0000-0000-000037010000}"/>
    <cellStyle name="Normal 2 3 2 4 2 7" xfId="74" xr:uid="{00000000-0005-0000-0000-000038010000}"/>
    <cellStyle name="Normal 2 3 2 4 2 7 2" xfId="563" xr:uid="{00000000-0005-0000-0000-000039010000}"/>
    <cellStyle name="Normal 2 3 2 4 2 7 3" xfId="1052" xr:uid="{00000000-0005-0000-0000-00003A010000}"/>
    <cellStyle name="Normal 2 3 2 4 2 8" xfId="302" xr:uid="{00000000-0005-0000-0000-00003B010000}"/>
    <cellStyle name="Normal 2 3 2 4 2 8 2" xfId="791" xr:uid="{00000000-0005-0000-0000-00003C010000}"/>
    <cellStyle name="Normal 2 3 2 4 2 8 3" xfId="1280" xr:uid="{00000000-0005-0000-0000-00003D010000}"/>
    <cellStyle name="Normal 2 3 2 4 2 9" xfId="531" xr:uid="{00000000-0005-0000-0000-00003E010000}"/>
    <cellStyle name="Normal 2 3 2 4 3" xfId="90" xr:uid="{00000000-0005-0000-0000-00003F010000}"/>
    <cellStyle name="Normal 2 3 2 4 3 2" xfId="138" xr:uid="{00000000-0005-0000-0000-000040010000}"/>
    <cellStyle name="Normal 2 3 2 4 3 2 2" xfId="366" xr:uid="{00000000-0005-0000-0000-000041010000}"/>
    <cellStyle name="Normal 2 3 2 4 3 2 2 2" xfId="855" xr:uid="{00000000-0005-0000-0000-000042010000}"/>
    <cellStyle name="Normal 2 3 2 4 3 2 2 3" xfId="1344" xr:uid="{00000000-0005-0000-0000-000043010000}"/>
    <cellStyle name="Normal 2 3 2 4 3 2 3" xfId="627" xr:uid="{00000000-0005-0000-0000-000044010000}"/>
    <cellStyle name="Normal 2 3 2 4 3 2 4" xfId="1116" xr:uid="{00000000-0005-0000-0000-000045010000}"/>
    <cellStyle name="Normal 2 3 2 4 3 3" xfId="318" xr:uid="{00000000-0005-0000-0000-000046010000}"/>
    <cellStyle name="Normal 2 3 2 4 3 3 2" xfId="807" xr:uid="{00000000-0005-0000-0000-000047010000}"/>
    <cellStyle name="Normal 2 3 2 4 3 3 3" xfId="1296" xr:uid="{00000000-0005-0000-0000-000048010000}"/>
    <cellStyle name="Normal 2 3 2 4 3 4" xfId="579" xr:uid="{00000000-0005-0000-0000-000049010000}"/>
    <cellStyle name="Normal 2 3 2 4 3 5" xfId="1068" xr:uid="{00000000-0005-0000-0000-00004A010000}"/>
    <cellStyle name="Normal 2 3 2 4 4" xfId="106" xr:uid="{00000000-0005-0000-0000-00004B010000}"/>
    <cellStyle name="Normal 2 3 2 4 4 2" xfId="334" xr:uid="{00000000-0005-0000-0000-00004C010000}"/>
    <cellStyle name="Normal 2 3 2 4 4 2 2" xfId="823" xr:uid="{00000000-0005-0000-0000-00004D010000}"/>
    <cellStyle name="Normal 2 3 2 4 4 2 3" xfId="1312" xr:uid="{00000000-0005-0000-0000-00004E010000}"/>
    <cellStyle name="Normal 2 3 2 4 4 3" xfId="595" xr:uid="{00000000-0005-0000-0000-00004F010000}"/>
    <cellStyle name="Normal 2 3 2 4 4 4" xfId="1084" xr:uid="{00000000-0005-0000-0000-000050010000}"/>
    <cellStyle name="Normal 2 3 2 4 5" xfId="155" xr:uid="{00000000-0005-0000-0000-000051010000}"/>
    <cellStyle name="Normal 2 3 2 4 5 2" xfId="383" xr:uid="{00000000-0005-0000-0000-000052010000}"/>
    <cellStyle name="Normal 2 3 2 4 5 2 2" xfId="872" xr:uid="{00000000-0005-0000-0000-000053010000}"/>
    <cellStyle name="Normal 2 3 2 4 5 2 3" xfId="1361" xr:uid="{00000000-0005-0000-0000-000054010000}"/>
    <cellStyle name="Normal 2 3 2 4 5 3" xfId="644" xr:uid="{00000000-0005-0000-0000-000055010000}"/>
    <cellStyle name="Normal 2 3 2 4 5 4" xfId="1133" xr:uid="{00000000-0005-0000-0000-000056010000}"/>
    <cellStyle name="Normal 2 3 2 4 6" xfId="188" xr:uid="{00000000-0005-0000-0000-000057010000}"/>
    <cellStyle name="Normal 2 3 2 4 6 2" xfId="416" xr:uid="{00000000-0005-0000-0000-000058010000}"/>
    <cellStyle name="Normal 2 3 2 4 6 2 2" xfId="905" xr:uid="{00000000-0005-0000-0000-000059010000}"/>
    <cellStyle name="Normal 2 3 2 4 6 2 3" xfId="1394" xr:uid="{00000000-0005-0000-0000-00005A010000}"/>
    <cellStyle name="Normal 2 3 2 4 6 3" xfId="677" xr:uid="{00000000-0005-0000-0000-00005B010000}"/>
    <cellStyle name="Normal 2 3 2 4 6 4" xfId="1166" xr:uid="{00000000-0005-0000-0000-00005C010000}"/>
    <cellStyle name="Normal 2 3 2 4 7" xfId="221" xr:uid="{00000000-0005-0000-0000-00005D010000}"/>
    <cellStyle name="Normal 2 3 2 4 7 2" xfId="449" xr:uid="{00000000-0005-0000-0000-00005E010000}"/>
    <cellStyle name="Normal 2 3 2 4 7 2 2" xfId="938" xr:uid="{00000000-0005-0000-0000-00005F010000}"/>
    <cellStyle name="Normal 2 3 2 4 7 2 3" xfId="1427" xr:uid="{00000000-0005-0000-0000-000060010000}"/>
    <cellStyle name="Normal 2 3 2 4 7 3" xfId="710" xr:uid="{00000000-0005-0000-0000-000061010000}"/>
    <cellStyle name="Normal 2 3 2 4 7 4" xfId="1199" xr:uid="{00000000-0005-0000-0000-000062010000}"/>
    <cellStyle name="Normal 2 3 2 4 8" xfId="254" xr:uid="{00000000-0005-0000-0000-000063010000}"/>
    <cellStyle name="Normal 2 3 2 4 8 2" xfId="482" xr:uid="{00000000-0005-0000-0000-000064010000}"/>
    <cellStyle name="Normal 2 3 2 4 8 2 2" xfId="971" xr:uid="{00000000-0005-0000-0000-000065010000}"/>
    <cellStyle name="Normal 2 3 2 4 8 2 3" xfId="1460" xr:uid="{00000000-0005-0000-0000-000066010000}"/>
    <cellStyle name="Normal 2 3 2 4 8 3" xfId="743" xr:uid="{00000000-0005-0000-0000-000067010000}"/>
    <cellStyle name="Normal 2 3 2 4 8 4" xfId="1232" xr:uid="{00000000-0005-0000-0000-000068010000}"/>
    <cellStyle name="Normal 2 3 2 4 9" xfId="58" xr:uid="{00000000-0005-0000-0000-000069010000}"/>
    <cellStyle name="Normal 2 3 2 4 9 2" xfId="547" xr:uid="{00000000-0005-0000-0000-00006A010000}"/>
    <cellStyle name="Normal 2 3 2 4 9 3" xfId="1036" xr:uid="{00000000-0005-0000-0000-00006B010000}"/>
    <cellStyle name="Normal 2 3 2 5" xfId="39" xr:uid="{00000000-0005-0000-0000-00006C010000}"/>
    <cellStyle name="Normal 2 3 2 5 10" xfId="1017" xr:uid="{00000000-0005-0000-0000-00006D010000}"/>
    <cellStyle name="Normal 2 3 2 5 2" xfId="119" xr:uid="{00000000-0005-0000-0000-00006E010000}"/>
    <cellStyle name="Normal 2 3 2 5 2 2" xfId="347" xr:uid="{00000000-0005-0000-0000-00006F010000}"/>
    <cellStyle name="Normal 2 3 2 5 2 2 2" xfId="836" xr:uid="{00000000-0005-0000-0000-000070010000}"/>
    <cellStyle name="Normal 2 3 2 5 2 2 3" xfId="1325" xr:uid="{00000000-0005-0000-0000-000071010000}"/>
    <cellStyle name="Normal 2 3 2 5 2 3" xfId="608" xr:uid="{00000000-0005-0000-0000-000072010000}"/>
    <cellStyle name="Normal 2 3 2 5 2 4" xfId="1097" xr:uid="{00000000-0005-0000-0000-000073010000}"/>
    <cellStyle name="Normal 2 3 2 5 3" xfId="168" xr:uid="{00000000-0005-0000-0000-000074010000}"/>
    <cellStyle name="Normal 2 3 2 5 3 2" xfId="396" xr:uid="{00000000-0005-0000-0000-000075010000}"/>
    <cellStyle name="Normal 2 3 2 5 3 2 2" xfId="885" xr:uid="{00000000-0005-0000-0000-000076010000}"/>
    <cellStyle name="Normal 2 3 2 5 3 2 3" xfId="1374" xr:uid="{00000000-0005-0000-0000-000077010000}"/>
    <cellStyle name="Normal 2 3 2 5 3 3" xfId="657" xr:uid="{00000000-0005-0000-0000-000078010000}"/>
    <cellStyle name="Normal 2 3 2 5 3 4" xfId="1146" xr:uid="{00000000-0005-0000-0000-000079010000}"/>
    <cellStyle name="Normal 2 3 2 5 4" xfId="201" xr:uid="{00000000-0005-0000-0000-00007A010000}"/>
    <cellStyle name="Normal 2 3 2 5 4 2" xfId="429" xr:uid="{00000000-0005-0000-0000-00007B010000}"/>
    <cellStyle name="Normal 2 3 2 5 4 2 2" xfId="918" xr:uid="{00000000-0005-0000-0000-00007C010000}"/>
    <cellStyle name="Normal 2 3 2 5 4 2 3" xfId="1407" xr:uid="{00000000-0005-0000-0000-00007D010000}"/>
    <cellStyle name="Normal 2 3 2 5 4 3" xfId="690" xr:uid="{00000000-0005-0000-0000-00007E010000}"/>
    <cellStyle name="Normal 2 3 2 5 4 4" xfId="1179" xr:uid="{00000000-0005-0000-0000-00007F010000}"/>
    <cellStyle name="Normal 2 3 2 5 5" xfId="234" xr:uid="{00000000-0005-0000-0000-000080010000}"/>
    <cellStyle name="Normal 2 3 2 5 5 2" xfId="462" xr:uid="{00000000-0005-0000-0000-000081010000}"/>
    <cellStyle name="Normal 2 3 2 5 5 2 2" xfId="951" xr:uid="{00000000-0005-0000-0000-000082010000}"/>
    <cellStyle name="Normal 2 3 2 5 5 2 3" xfId="1440" xr:uid="{00000000-0005-0000-0000-000083010000}"/>
    <cellStyle name="Normal 2 3 2 5 5 3" xfId="723" xr:uid="{00000000-0005-0000-0000-000084010000}"/>
    <cellStyle name="Normal 2 3 2 5 5 4" xfId="1212" xr:uid="{00000000-0005-0000-0000-000085010000}"/>
    <cellStyle name="Normal 2 3 2 5 6" xfId="267" xr:uid="{00000000-0005-0000-0000-000086010000}"/>
    <cellStyle name="Normal 2 3 2 5 6 2" xfId="495" xr:uid="{00000000-0005-0000-0000-000087010000}"/>
    <cellStyle name="Normal 2 3 2 5 6 2 2" xfId="984" xr:uid="{00000000-0005-0000-0000-000088010000}"/>
    <cellStyle name="Normal 2 3 2 5 6 2 3" xfId="1473" xr:uid="{00000000-0005-0000-0000-000089010000}"/>
    <cellStyle name="Normal 2 3 2 5 6 3" xfId="756" xr:uid="{00000000-0005-0000-0000-00008A010000}"/>
    <cellStyle name="Normal 2 3 2 5 6 4" xfId="1245" xr:uid="{00000000-0005-0000-0000-00008B010000}"/>
    <cellStyle name="Normal 2 3 2 5 7" xfId="71" xr:uid="{00000000-0005-0000-0000-00008C010000}"/>
    <cellStyle name="Normal 2 3 2 5 7 2" xfId="560" xr:uid="{00000000-0005-0000-0000-00008D010000}"/>
    <cellStyle name="Normal 2 3 2 5 7 3" xfId="1049" xr:uid="{00000000-0005-0000-0000-00008E010000}"/>
    <cellStyle name="Normal 2 3 2 5 8" xfId="299" xr:uid="{00000000-0005-0000-0000-00008F010000}"/>
    <cellStyle name="Normal 2 3 2 5 8 2" xfId="788" xr:uid="{00000000-0005-0000-0000-000090010000}"/>
    <cellStyle name="Normal 2 3 2 5 8 3" xfId="1277" xr:uid="{00000000-0005-0000-0000-000091010000}"/>
    <cellStyle name="Normal 2 3 2 5 9" xfId="528" xr:uid="{00000000-0005-0000-0000-000092010000}"/>
    <cellStyle name="Normal 2 3 2 6" xfId="87" xr:uid="{00000000-0005-0000-0000-000093010000}"/>
    <cellStyle name="Normal 2 3 2 6 2" xfId="135" xr:uid="{00000000-0005-0000-0000-000094010000}"/>
    <cellStyle name="Normal 2 3 2 6 2 2" xfId="363" xr:uid="{00000000-0005-0000-0000-000095010000}"/>
    <cellStyle name="Normal 2 3 2 6 2 2 2" xfId="852" xr:uid="{00000000-0005-0000-0000-000096010000}"/>
    <cellStyle name="Normal 2 3 2 6 2 2 3" xfId="1341" xr:uid="{00000000-0005-0000-0000-000097010000}"/>
    <cellStyle name="Normal 2 3 2 6 2 3" xfId="624" xr:uid="{00000000-0005-0000-0000-000098010000}"/>
    <cellStyle name="Normal 2 3 2 6 2 4" xfId="1113" xr:uid="{00000000-0005-0000-0000-000099010000}"/>
    <cellStyle name="Normal 2 3 2 6 3" xfId="315" xr:uid="{00000000-0005-0000-0000-00009A010000}"/>
    <cellStyle name="Normal 2 3 2 6 3 2" xfId="804" xr:uid="{00000000-0005-0000-0000-00009B010000}"/>
    <cellStyle name="Normal 2 3 2 6 3 3" xfId="1293" xr:uid="{00000000-0005-0000-0000-00009C010000}"/>
    <cellStyle name="Normal 2 3 2 6 4" xfId="576" xr:uid="{00000000-0005-0000-0000-00009D010000}"/>
    <cellStyle name="Normal 2 3 2 6 5" xfId="1065" xr:uid="{00000000-0005-0000-0000-00009E010000}"/>
    <cellStyle name="Normal 2 3 2 7" xfId="103" xr:uid="{00000000-0005-0000-0000-00009F010000}"/>
    <cellStyle name="Normal 2 3 2 7 2" xfId="331" xr:uid="{00000000-0005-0000-0000-0000A0010000}"/>
    <cellStyle name="Normal 2 3 2 7 2 2" xfId="820" xr:uid="{00000000-0005-0000-0000-0000A1010000}"/>
    <cellStyle name="Normal 2 3 2 7 2 3" xfId="1309" xr:uid="{00000000-0005-0000-0000-0000A2010000}"/>
    <cellStyle name="Normal 2 3 2 7 3" xfId="592" xr:uid="{00000000-0005-0000-0000-0000A3010000}"/>
    <cellStyle name="Normal 2 3 2 7 4" xfId="1081" xr:uid="{00000000-0005-0000-0000-0000A4010000}"/>
    <cellStyle name="Normal 2 3 2 8" xfId="152" xr:uid="{00000000-0005-0000-0000-0000A5010000}"/>
    <cellStyle name="Normal 2 3 2 8 2" xfId="380" xr:uid="{00000000-0005-0000-0000-0000A6010000}"/>
    <cellStyle name="Normal 2 3 2 8 2 2" xfId="869" xr:uid="{00000000-0005-0000-0000-0000A7010000}"/>
    <cellStyle name="Normal 2 3 2 8 2 3" xfId="1358" xr:uid="{00000000-0005-0000-0000-0000A8010000}"/>
    <cellStyle name="Normal 2 3 2 8 3" xfId="641" xr:uid="{00000000-0005-0000-0000-0000A9010000}"/>
    <cellStyle name="Normal 2 3 2 8 4" xfId="1130" xr:uid="{00000000-0005-0000-0000-0000AA010000}"/>
    <cellStyle name="Normal 2 3 2 9" xfId="185" xr:uid="{00000000-0005-0000-0000-0000AB010000}"/>
    <cellStyle name="Normal 2 3 2 9 2" xfId="413" xr:uid="{00000000-0005-0000-0000-0000AC010000}"/>
    <cellStyle name="Normal 2 3 2 9 2 2" xfId="902" xr:uid="{00000000-0005-0000-0000-0000AD010000}"/>
    <cellStyle name="Normal 2 3 2 9 2 3" xfId="1391" xr:uid="{00000000-0005-0000-0000-0000AE010000}"/>
    <cellStyle name="Normal 2 3 2 9 3" xfId="674" xr:uid="{00000000-0005-0000-0000-0000AF010000}"/>
    <cellStyle name="Normal 2 3 2 9 4" xfId="1163" xr:uid="{00000000-0005-0000-0000-0000B0010000}"/>
    <cellStyle name="Normal 2 3 3" xfId="27" xr:uid="{00000000-0005-0000-0000-0000B1010000}"/>
    <cellStyle name="Normal 2 3 3 10" xfId="287" xr:uid="{00000000-0005-0000-0000-0000B2010000}"/>
    <cellStyle name="Normal 2 3 3 10 2" xfId="776" xr:uid="{00000000-0005-0000-0000-0000B3010000}"/>
    <cellStyle name="Normal 2 3 3 10 3" xfId="1265" xr:uid="{00000000-0005-0000-0000-0000B4010000}"/>
    <cellStyle name="Normal 2 3 3 11" xfId="516" xr:uid="{00000000-0005-0000-0000-0000B5010000}"/>
    <cellStyle name="Normal 2 3 3 12" xfId="1005" xr:uid="{00000000-0005-0000-0000-0000B6010000}"/>
    <cellStyle name="Normal 2 3 3 2" xfId="43" xr:uid="{00000000-0005-0000-0000-0000B7010000}"/>
    <cellStyle name="Normal 2 3 3 2 10" xfId="1021" xr:uid="{00000000-0005-0000-0000-0000B8010000}"/>
    <cellStyle name="Normal 2 3 3 2 2" xfId="123" xr:uid="{00000000-0005-0000-0000-0000B9010000}"/>
    <cellStyle name="Normal 2 3 3 2 2 2" xfId="351" xr:uid="{00000000-0005-0000-0000-0000BA010000}"/>
    <cellStyle name="Normal 2 3 3 2 2 2 2" xfId="840" xr:uid="{00000000-0005-0000-0000-0000BB010000}"/>
    <cellStyle name="Normal 2 3 3 2 2 2 3" xfId="1329" xr:uid="{00000000-0005-0000-0000-0000BC010000}"/>
    <cellStyle name="Normal 2 3 3 2 2 3" xfId="612" xr:uid="{00000000-0005-0000-0000-0000BD010000}"/>
    <cellStyle name="Normal 2 3 3 2 2 4" xfId="1101" xr:uid="{00000000-0005-0000-0000-0000BE010000}"/>
    <cellStyle name="Normal 2 3 3 2 3" xfId="172" xr:uid="{00000000-0005-0000-0000-0000BF010000}"/>
    <cellStyle name="Normal 2 3 3 2 3 2" xfId="400" xr:uid="{00000000-0005-0000-0000-0000C0010000}"/>
    <cellStyle name="Normal 2 3 3 2 3 2 2" xfId="889" xr:uid="{00000000-0005-0000-0000-0000C1010000}"/>
    <cellStyle name="Normal 2 3 3 2 3 2 3" xfId="1378" xr:uid="{00000000-0005-0000-0000-0000C2010000}"/>
    <cellStyle name="Normal 2 3 3 2 3 3" xfId="661" xr:uid="{00000000-0005-0000-0000-0000C3010000}"/>
    <cellStyle name="Normal 2 3 3 2 3 4" xfId="1150" xr:uid="{00000000-0005-0000-0000-0000C4010000}"/>
    <cellStyle name="Normal 2 3 3 2 4" xfId="205" xr:uid="{00000000-0005-0000-0000-0000C5010000}"/>
    <cellStyle name="Normal 2 3 3 2 4 2" xfId="433" xr:uid="{00000000-0005-0000-0000-0000C6010000}"/>
    <cellStyle name="Normal 2 3 3 2 4 2 2" xfId="922" xr:uid="{00000000-0005-0000-0000-0000C7010000}"/>
    <cellStyle name="Normal 2 3 3 2 4 2 3" xfId="1411" xr:uid="{00000000-0005-0000-0000-0000C8010000}"/>
    <cellStyle name="Normal 2 3 3 2 4 3" xfId="694" xr:uid="{00000000-0005-0000-0000-0000C9010000}"/>
    <cellStyle name="Normal 2 3 3 2 4 4" xfId="1183" xr:uid="{00000000-0005-0000-0000-0000CA010000}"/>
    <cellStyle name="Normal 2 3 3 2 5" xfId="238" xr:uid="{00000000-0005-0000-0000-0000CB010000}"/>
    <cellStyle name="Normal 2 3 3 2 5 2" xfId="466" xr:uid="{00000000-0005-0000-0000-0000CC010000}"/>
    <cellStyle name="Normal 2 3 3 2 5 2 2" xfId="955" xr:uid="{00000000-0005-0000-0000-0000CD010000}"/>
    <cellStyle name="Normal 2 3 3 2 5 2 3" xfId="1444" xr:uid="{00000000-0005-0000-0000-0000CE010000}"/>
    <cellStyle name="Normal 2 3 3 2 5 3" xfId="727" xr:uid="{00000000-0005-0000-0000-0000CF010000}"/>
    <cellStyle name="Normal 2 3 3 2 5 4" xfId="1216" xr:uid="{00000000-0005-0000-0000-0000D0010000}"/>
    <cellStyle name="Normal 2 3 3 2 6" xfId="271" xr:uid="{00000000-0005-0000-0000-0000D1010000}"/>
    <cellStyle name="Normal 2 3 3 2 6 2" xfId="499" xr:uid="{00000000-0005-0000-0000-0000D2010000}"/>
    <cellStyle name="Normal 2 3 3 2 6 2 2" xfId="988" xr:uid="{00000000-0005-0000-0000-0000D3010000}"/>
    <cellStyle name="Normal 2 3 3 2 6 2 3" xfId="1477" xr:uid="{00000000-0005-0000-0000-0000D4010000}"/>
    <cellStyle name="Normal 2 3 3 2 6 3" xfId="760" xr:uid="{00000000-0005-0000-0000-0000D5010000}"/>
    <cellStyle name="Normal 2 3 3 2 6 4" xfId="1249" xr:uid="{00000000-0005-0000-0000-0000D6010000}"/>
    <cellStyle name="Normal 2 3 3 2 7" xfId="75" xr:uid="{00000000-0005-0000-0000-0000D7010000}"/>
    <cellStyle name="Normal 2 3 3 2 7 2" xfId="564" xr:uid="{00000000-0005-0000-0000-0000D8010000}"/>
    <cellStyle name="Normal 2 3 3 2 7 3" xfId="1053" xr:uid="{00000000-0005-0000-0000-0000D9010000}"/>
    <cellStyle name="Normal 2 3 3 2 8" xfId="303" xr:uid="{00000000-0005-0000-0000-0000DA010000}"/>
    <cellStyle name="Normal 2 3 3 2 8 2" xfId="792" xr:uid="{00000000-0005-0000-0000-0000DB010000}"/>
    <cellStyle name="Normal 2 3 3 2 8 3" xfId="1281" xr:uid="{00000000-0005-0000-0000-0000DC010000}"/>
    <cellStyle name="Normal 2 3 3 2 9" xfId="532" xr:uid="{00000000-0005-0000-0000-0000DD010000}"/>
    <cellStyle name="Normal 2 3 3 3" xfId="91" xr:uid="{00000000-0005-0000-0000-0000DE010000}"/>
    <cellStyle name="Normal 2 3 3 3 2" xfId="139" xr:uid="{00000000-0005-0000-0000-0000DF010000}"/>
    <cellStyle name="Normal 2 3 3 3 2 2" xfId="367" xr:uid="{00000000-0005-0000-0000-0000E0010000}"/>
    <cellStyle name="Normal 2 3 3 3 2 2 2" xfId="856" xr:uid="{00000000-0005-0000-0000-0000E1010000}"/>
    <cellStyle name="Normal 2 3 3 3 2 2 3" xfId="1345" xr:uid="{00000000-0005-0000-0000-0000E2010000}"/>
    <cellStyle name="Normal 2 3 3 3 2 3" xfId="628" xr:uid="{00000000-0005-0000-0000-0000E3010000}"/>
    <cellStyle name="Normal 2 3 3 3 2 4" xfId="1117" xr:uid="{00000000-0005-0000-0000-0000E4010000}"/>
    <cellStyle name="Normal 2 3 3 3 3" xfId="319" xr:uid="{00000000-0005-0000-0000-0000E5010000}"/>
    <cellStyle name="Normal 2 3 3 3 3 2" xfId="808" xr:uid="{00000000-0005-0000-0000-0000E6010000}"/>
    <cellStyle name="Normal 2 3 3 3 3 3" xfId="1297" xr:uid="{00000000-0005-0000-0000-0000E7010000}"/>
    <cellStyle name="Normal 2 3 3 3 4" xfId="580" xr:uid="{00000000-0005-0000-0000-0000E8010000}"/>
    <cellStyle name="Normal 2 3 3 3 5" xfId="1069" xr:uid="{00000000-0005-0000-0000-0000E9010000}"/>
    <cellStyle name="Normal 2 3 3 4" xfId="107" xr:uid="{00000000-0005-0000-0000-0000EA010000}"/>
    <cellStyle name="Normal 2 3 3 4 2" xfId="335" xr:uid="{00000000-0005-0000-0000-0000EB010000}"/>
    <cellStyle name="Normal 2 3 3 4 2 2" xfId="824" xr:uid="{00000000-0005-0000-0000-0000EC010000}"/>
    <cellStyle name="Normal 2 3 3 4 2 3" xfId="1313" xr:uid="{00000000-0005-0000-0000-0000ED010000}"/>
    <cellStyle name="Normal 2 3 3 4 3" xfId="596" xr:uid="{00000000-0005-0000-0000-0000EE010000}"/>
    <cellStyle name="Normal 2 3 3 4 4" xfId="1085" xr:uid="{00000000-0005-0000-0000-0000EF010000}"/>
    <cellStyle name="Normal 2 3 3 5" xfId="156" xr:uid="{00000000-0005-0000-0000-0000F0010000}"/>
    <cellStyle name="Normal 2 3 3 5 2" xfId="384" xr:uid="{00000000-0005-0000-0000-0000F1010000}"/>
    <cellStyle name="Normal 2 3 3 5 2 2" xfId="873" xr:uid="{00000000-0005-0000-0000-0000F2010000}"/>
    <cellStyle name="Normal 2 3 3 5 2 3" xfId="1362" xr:uid="{00000000-0005-0000-0000-0000F3010000}"/>
    <cellStyle name="Normal 2 3 3 5 3" xfId="645" xr:uid="{00000000-0005-0000-0000-0000F4010000}"/>
    <cellStyle name="Normal 2 3 3 5 4" xfId="1134" xr:uid="{00000000-0005-0000-0000-0000F5010000}"/>
    <cellStyle name="Normal 2 3 3 6" xfId="189" xr:uid="{00000000-0005-0000-0000-0000F6010000}"/>
    <cellStyle name="Normal 2 3 3 6 2" xfId="417" xr:uid="{00000000-0005-0000-0000-0000F7010000}"/>
    <cellStyle name="Normal 2 3 3 6 2 2" xfId="906" xr:uid="{00000000-0005-0000-0000-0000F8010000}"/>
    <cellStyle name="Normal 2 3 3 6 2 3" xfId="1395" xr:uid="{00000000-0005-0000-0000-0000F9010000}"/>
    <cellStyle name="Normal 2 3 3 6 3" xfId="678" xr:uid="{00000000-0005-0000-0000-0000FA010000}"/>
    <cellStyle name="Normal 2 3 3 6 4" xfId="1167" xr:uid="{00000000-0005-0000-0000-0000FB010000}"/>
    <cellStyle name="Normal 2 3 3 7" xfId="222" xr:uid="{00000000-0005-0000-0000-0000FC010000}"/>
    <cellStyle name="Normal 2 3 3 7 2" xfId="450" xr:uid="{00000000-0005-0000-0000-0000FD010000}"/>
    <cellStyle name="Normal 2 3 3 7 2 2" xfId="939" xr:uid="{00000000-0005-0000-0000-0000FE010000}"/>
    <cellStyle name="Normal 2 3 3 7 2 3" xfId="1428" xr:uid="{00000000-0005-0000-0000-0000FF010000}"/>
    <cellStyle name="Normal 2 3 3 7 3" xfId="711" xr:uid="{00000000-0005-0000-0000-000000020000}"/>
    <cellStyle name="Normal 2 3 3 7 4" xfId="1200" xr:uid="{00000000-0005-0000-0000-000001020000}"/>
    <cellStyle name="Normal 2 3 3 8" xfId="255" xr:uid="{00000000-0005-0000-0000-000002020000}"/>
    <cellStyle name="Normal 2 3 3 8 2" xfId="483" xr:uid="{00000000-0005-0000-0000-000003020000}"/>
    <cellStyle name="Normal 2 3 3 8 2 2" xfId="972" xr:uid="{00000000-0005-0000-0000-000004020000}"/>
    <cellStyle name="Normal 2 3 3 8 2 3" xfId="1461" xr:uid="{00000000-0005-0000-0000-000005020000}"/>
    <cellStyle name="Normal 2 3 3 8 3" xfId="744" xr:uid="{00000000-0005-0000-0000-000006020000}"/>
    <cellStyle name="Normal 2 3 3 8 4" xfId="1233" xr:uid="{00000000-0005-0000-0000-000007020000}"/>
    <cellStyle name="Normal 2 3 3 9" xfId="59" xr:uid="{00000000-0005-0000-0000-000008020000}"/>
    <cellStyle name="Normal 2 3 3 9 2" xfId="548" xr:uid="{00000000-0005-0000-0000-000009020000}"/>
    <cellStyle name="Normal 2 3 3 9 3" xfId="1037" xr:uid="{00000000-0005-0000-0000-00000A020000}"/>
    <cellStyle name="Normal 2 3 4" xfId="28" xr:uid="{00000000-0005-0000-0000-00000B020000}"/>
    <cellStyle name="Normal 2 3 4 10" xfId="288" xr:uid="{00000000-0005-0000-0000-00000C020000}"/>
    <cellStyle name="Normal 2 3 4 10 2" xfId="777" xr:uid="{00000000-0005-0000-0000-00000D020000}"/>
    <cellStyle name="Normal 2 3 4 10 3" xfId="1266" xr:uid="{00000000-0005-0000-0000-00000E020000}"/>
    <cellStyle name="Normal 2 3 4 11" xfId="517" xr:uid="{00000000-0005-0000-0000-00000F020000}"/>
    <cellStyle name="Normal 2 3 4 12" xfId="1006" xr:uid="{00000000-0005-0000-0000-000010020000}"/>
    <cellStyle name="Normal 2 3 4 2" xfId="44" xr:uid="{00000000-0005-0000-0000-000011020000}"/>
    <cellStyle name="Normal 2 3 4 2 10" xfId="1022" xr:uid="{00000000-0005-0000-0000-000012020000}"/>
    <cellStyle name="Normal 2 3 4 2 2" xfId="124" xr:uid="{00000000-0005-0000-0000-000013020000}"/>
    <cellStyle name="Normal 2 3 4 2 2 2" xfId="352" xr:uid="{00000000-0005-0000-0000-000014020000}"/>
    <cellStyle name="Normal 2 3 4 2 2 2 2" xfId="841" xr:uid="{00000000-0005-0000-0000-000015020000}"/>
    <cellStyle name="Normal 2 3 4 2 2 2 3" xfId="1330" xr:uid="{00000000-0005-0000-0000-000016020000}"/>
    <cellStyle name="Normal 2 3 4 2 2 3" xfId="613" xr:uid="{00000000-0005-0000-0000-000017020000}"/>
    <cellStyle name="Normal 2 3 4 2 2 4" xfId="1102" xr:uid="{00000000-0005-0000-0000-000018020000}"/>
    <cellStyle name="Normal 2 3 4 2 3" xfId="173" xr:uid="{00000000-0005-0000-0000-000019020000}"/>
    <cellStyle name="Normal 2 3 4 2 3 2" xfId="401" xr:uid="{00000000-0005-0000-0000-00001A020000}"/>
    <cellStyle name="Normal 2 3 4 2 3 2 2" xfId="890" xr:uid="{00000000-0005-0000-0000-00001B020000}"/>
    <cellStyle name="Normal 2 3 4 2 3 2 3" xfId="1379" xr:uid="{00000000-0005-0000-0000-00001C020000}"/>
    <cellStyle name="Normal 2 3 4 2 3 3" xfId="662" xr:uid="{00000000-0005-0000-0000-00001D020000}"/>
    <cellStyle name="Normal 2 3 4 2 3 4" xfId="1151" xr:uid="{00000000-0005-0000-0000-00001E020000}"/>
    <cellStyle name="Normal 2 3 4 2 4" xfId="206" xr:uid="{00000000-0005-0000-0000-00001F020000}"/>
    <cellStyle name="Normal 2 3 4 2 4 2" xfId="434" xr:uid="{00000000-0005-0000-0000-000020020000}"/>
    <cellStyle name="Normal 2 3 4 2 4 2 2" xfId="923" xr:uid="{00000000-0005-0000-0000-000021020000}"/>
    <cellStyle name="Normal 2 3 4 2 4 2 3" xfId="1412" xr:uid="{00000000-0005-0000-0000-000022020000}"/>
    <cellStyle name="Normal 2 3 4 2 4 3" xfId="695" xr:uid="{00000000-0005-0000-0000-000023020000}"/>
    <cellStyle name="Normal 2 3 4 2 4 4" xfId="1184" xr:uid="{00000000-0005-0000-0000-000024020000}"/>
    <cellStyle name="Normal 2 3 4 2 5" xfId="239" xr:uid="{00000000-0005-0000-0000-000025020000}"/>
    <cellStyle name="Normal 2 3 4 2 5 2" xfId="467" xr:uid="{00000000-0005-0000-0000-000026020000}"/>
    <cellStyle name="Normal 2 3 4 2 5 2 2" xfId="956" xr:uid="{00000000-0005-0000-0000-000027020000}"/>
    <cellStyle name="Normal 2 3 4 2 5 2 3" xfId="1445" xr:uid="{00000000-0005-0000-0000-000028020000}"/>
    <cellStyle name="Normal 2 3 4 2 5 3" xfId="728" xr:uid="{00000000-0005-0000-0000-000029020000}"/>
    <cellStyle name="Normal 2 3 4 2 5 4" xfId="1217" xr:uid="{00000000-0005-0000-0000-00002A020000}"/>
    <cellStyle name="Normal 2 3 4 2 6" xfId="272" xr:uid="{00000000-0005-0000-0000-00002B020000}"/>
    <cellStyle name="Normal 2 3 4 2 6 2" xfId="500" xr:uid="{00000000-0005-0000-0000-00002C020000}"/>
    <cellStyle name="Normal 2 3 4 2 6 2 2" xfId="989" xr:uid="{00000000-0005-0000-0000-00002D020000}"/>
    <cellStyle name="Normal 2 3 4 2 6 2 3" xfId="1478" xr:uid="{00000000-0005-0000-0000-00002E020000}"/>
    <cellStyle name="Normal 2 3 4 2 6 3" xfId="761" xr:uid="{00000000-0005-0000-0000-00002F020000}"/>
    <cellStyle name="Normal 2 3 4 2 6 4" xfId="1250" xr:uid="{00000000-0005-0000-0000-000030020000}"/>
    <cellStyle name="Normal 2 3 4 2 7" xfId="76" xr:uid="{00000000-0005-0000-0000-000031020000}"/>
    <cellStyle name="Normal 2 3 4 2 7 2" xfId="565" xr:uid="{00000000-0005-0000-0000-000032020000}"/>
    <cellStyle name="Normal 2 3 4 2 7 3" xfId="1054" xr:uid="{00000000-0005-0000-0000-000033020000}"/>
    <cellStyle name="Normal 2 3 4 2 8" xfId="304" xr:uid="{00000000-0005-0000-0000-000034020000}"/>
    <cellStyle name="Normal 2 3 4 2 8 2" xfId="793" xr:uid="{00000000-0005-0000-0000-000035020000}"/>
    <cellStyle name="Normal 2 3 4 2 8 3" xfId="1282" xr:uid="{00000000-0005-0000-0000-000036020000}"/>
    <cellStyle name="Normal 2 3 4 2 9" xfId="533" xr:uid="{00000000-0005-0000-0000-000037020000}"/>
    <cellStyle name="Normal 2 3 4 3" xfId="92" xr:uid="{00000000-0005-0000-0000-000038020000}"/>
    <cellStyle name="Normal 2 3 4 3 2" xfId="140" xr:uid="{00000000-0005-0000-0000-000039020000}"/>
    <cellStyle name="Normal 2 3 4 3 2 2" xfId="368" xr:uid="{00000000-0005-0000-0000-00003A020000}"/>
    <cellStyle name="Normal 2 3 4 3 2 2 2" xfId="857" xr:uid="{00000000-0005-0000-0000-00003B020000}"/>
    <cellStyle name="Normal 2 3 4 3 2 2 3" xfId="1346" xr:uid="{00000000-0005-0000-0000-00003C020000}"/>
    <cellStyle name="Normal 2 3 4 3 2 3" xfId="629" xr:uid="{00000000-0005-0000-0000-00003D020000}"/>
    <cellStyle name="Normal 2 3 4 3 2 4" xfId="1118" xr:uid="{00000000-0005-0000-0000-00003E020000}"/>
    <cellStyle name="Normal 2 3 4 3 3" xfId="320" xr:uid="{00000000-0005-0000-0000-00003F020000}"/>
    <cellStyle name="Normal 2 3 4 3 3 2" xfId="809" xr:uid="{00000000-0005-0000-0000-000040020000}"/>
    <cellStyle name="Normal 2 3 4 3 3 3" xfId="1298" xr:uid="{00000000-0005-0000-0000-000041020000}"/>
    <cellStyle name="Normal 2 3 4 3 4" xfId="581" xr:uid="{00000000-0005-0000-0000-000042020000}"/>
    <cellStyle name="Normal 2 3 4 3 5" xfId="1070" xr:uid="{00000000-0005-0000-0000-000043020000}"/>
    <cellStyle name="Normal 2 3 4 4" xfId="108" xr:uid="{00000000-0005-0000-0000-000044020000}"/>
    <cellStyle name="Normal 2 3 4 4 2" xfId="336" xr:uid="{00000000-0005-0000-0000-000045020000}"/>
    <cellStyle name="Normal 2 3 4 4 2 2" xfId="825" xr:uid="{00000000-0005-0000-0000-000046020000}"/>
    <cellStyle name="Normal 2 3 4 4 2 3" xfId="1314" xr:uid="{00000000-0005-0000-0000-000047020000}"/>
    <cellStyle name="Normal 2 3 4 4 3" xfId="597" xr:uid="{00000000-0005-0000-0000-000048020000}"/>
    <cellStyle name="Normal 2 3 4 4 4" xfId="1086" xr:uid="{00000000-0005-0000-0000-000049020000}"/>
    <cellStyle name="Normal 2 3 4 5" xfId="157" xr:uid="{00000000-0005-0000-0000-00004A020000}"/>
    <cellStyle name="Normal 2 3 4 5 2" xfId="385" xr:uid="{00000000-0005-0000-0000-00004B020000}"/>
    <cellStyle name="Normal 2 3 4 5 2 2" xfId="874" xr:uid="{00000000-0005-0000-0000-00004C020000}"/>
    <cellStyle name="Normal 2 3 4 5 2 3" xfId="1363" xr:uid="{00000000-0005-0000-0000-00004D020000}"/>
    <cellStyle name="Normal 2 3 4 5 3" xfId="646" xr:uid="{00000000-0005-0000-0000-00004E020000}"/>
    <cellStyle name="Normal 2 3 4 5 4" xfId="1135" xr:uid="{00000000-0005-0000-0000-00004F020000}"/>
    <cellStyle name="Normal 2 3 4 6" xfId="190" xr:uid="{00000000-0005-0000-0000-000050020000}"/>
    <cellStyle name="Normal 2 3 4 6 2" xfId="418" xr:uid="{00000000-0005-0000-0000-000051020000}"/>
    <cellStyle name="Normal 2 3 4 6 2 2" xfId="907" xr:uid="{00000000-0005-0000-0000-000052020000}"/>
    <cellStyle name="Normal 2 3 4 6 2 3" xfId="1396" xr:uid="{00000000-0005-0000-0000-000053020000}"/>
    <cellStyle name="Normal 2 3 4 6 3" xfId="679" xr:uid="{00000000-0005-0000-0000-000054020000}"/>
    <cellStyle name="Normal 2 3 4 6 4" xfId="1168" xr:uid="{00000000-0005-0000-0000-000055020000}"/>
    <cellStyle name="Normal 2 3 4 7" xfId="223" xr:uid="{00000000-0005-0000-0000-000056020000}"/>
    <cellStyle name="Normal 2 3 4 7 2" xfId="451" xr:uid="{00000000-0005-0000-0000-000057020000}"/>
    <cellStyle name="Normal 2 3 4 7 2 2" xfId="940" xr:uid="{00000000-0005-0000-0000-000058020000}"/>
    <cellStyle name="Normal 2 3 4 7 2 3" xfId="1429" xr:uid="{00000000-0005-0000-0000-000059020000}"/>
    <cellStyle name="Normal 2 3 4 7 3" xfId="712" xr:uid="{00000000-0005-0000-0000-00005A020000}"/>
    <cellStyle name="Normal 2 3 4 7 4" xfId="1201" xr:uid="{00000000-0005-0000-0000-00005B020000}"/>
    <cellStyle name="Normal 2 3 4 8" xfId="256" xr:uid="{00000000-0005-0000-0000-00005C020000}"/>
    <cellStyle name="Normal 2 3 4 8 2" xfId="484" xr:uid="{00000000-0005-0000-0000-00005D020000}"/>
    <cellStyle name="Normal 2 3 4 8 2 2" xfId="973" xr:uid="{00000000-0005-0000-0000-00005E020000}"/>
    <cellStyle name="Normal 2 3 4 8 2 3" xfId="1462" xr:uid="{00000000-0005-0000-0000-00005F020000}"/>
    <cellStyle name="Normal 2 3 4 8 3" xfId="745" xr:uid="{00000000-0005-0000-0000-000060020000}"/>
    <cellStyle name="Normal 2 3 4 8 4" xfId="1234" xr:uid="{00000000-0005-0000-0000-000061020000}"/>
    <cellStyle name="Normal 2 3 4 9" xfId="60" xr:uid="{00000000-0005-0000-0000-000062020000}"/>
    <cellStyle name="Normal 2 3 4 9 2" xfId="549" xr:uid="{00000000-0005-0000-0000-000063020000}"/>
    <cellStyle name="Normal 2 3 4 9 3" xfId="1038" xr:uid="{00000000-0005-0000-0000-000064020000}"/>
    <cellStyle name="Normal 2 3 5" xfId="29" xr:uid="{00000000-0005-0000-0000-000065020000}"/>
    <cellStyle name="Normal 2 3 5 10" xfId="289" xr:uid="{00000000-0005-0000-0000-000066020000}"/>
    <cellStyle name="Normal 2 3 5 10 2" xfId="778" xr:uid="{00000000-0005-0000-0000-000067020000}"/>
    <cellStyle name="Normal 2 3 5 10 3" xfId="1267" xr:uid="{00000000-0005-0000-0000-000068020000}"/>
    <cellStyle name="Normal 2 3 5 11" xfId="518" xr:uid="{00000000-0005-0000-0000-000069020000}"/>
    <cellStyle name="Normal 2 3 5 12" xfId="1007" xr:uid="{00000000-0005-0000-0000-00006A020000}"/>
    <cellStyle name="Normal 2 3 5 2" xfId="45" xr:uid="{00000000-0005-0000-0000-00006B020000}"/>
    <cellStyle name="Normal 2 3 5 2 10" xfId="1023" xr:uid="{00000000-0005-0000-0000-00006C020000}"/>
    <cellStyle name="Normal 2 3 5 2 2" xfId="125" xr:uid="{00000000-0005-0000-0000-00006D020000}"/>
    <cellStyle name="Normal 2 3 5 2 2 2" xfId="353" xr:uid="{00000000-0005-0000-0000-00006E020000}"/>
    <cellStyle name="Normal 2 3 5 2 2 2 2" xfId="842" xr:uid="{00000000-0005-0000-0000-00006F020000}"/>
    <cellStyle name="Normal 2 3 5 2 2 2 3" xfId="1331" xr:uid="{00000000-0005-0000-0000-000070020000}"/>
    <cellStyle name="Normal 2 3 5 2 2 3" xfId="614" xr:uid="{00000000-0005-0000-0000-000071020000}"/>
    <cellStyle name="Normal 2 3 5 2 2 4" xfId="1103" xr:uid="{00000000-0005-0000-0000-000072020000}"/>
    <cellStyle name="Normal 2 3 5 2 3" xfId="174" xr:uid="{00000000-0005-0000-0000-000073020000}"/>
    <cellStyle name="Normal 2 3 5 2 3 2" xfId="402" xr:uid="{00000000-0005-0000-0000-000074020000}"/>
    <cellStyle name="Normal 2 3 5 2 3 2 2" xfId="891" xr:uid="{00000000-0005-0000-0000-000075020000}"/>
    <cellStyle name="Normal 2 3 5 2 3 2 3" xfId="1380" xr:uid="{00000000-0005-0000-0000-000076020000}"/>
    <cellStyle name="Normal 2 3 5 2 3 3" xfId="663" xr:uid="{00000000-0005-0000-0000-000077020000}"/>
    <cellStyle name="Normal 2 3 5 2 3 4" xfId="1152" xr:uid="{00000000-0005-0000-0000-000078020000}"/>
    <cellStyle name="Normal 2 3 5 2 4" xfId="207" xr:uid="{00000000-0005-0000-0000-000079020000}"/>
    <cellStyle name="Normal 2 3 5 2 4 2" xfId="435" xr:uid="{00000000-0005-0000-0000-00007A020000}"/>
    <cellStyle name="Normal 2 3 5 2 4 2 2" xfId="924" xr:uid="{00000000-0005-0000-0000-00007B020000}"/>
    <cellStyle name="Normal 2 3 5 2 4 2 3" xfId="1413" xr:uid="{00000000-0005-0000-0000-00007C020000}"/>
    <cellStyle name="Normal 2 3 5 2 4 3" xfId="696" xr:uid="{00000000-0005-0000-0000-00007D020000}"/>
    <cellStyle name="Normal 2 3 5 2 4 4" xfId="1185" xr:uid="{00000000-0005-0000-0000-00007E020000}"/>
    <cellStyle name="Normal 2 3 5 2 5" xfId="240" xr:uid="{00000000-0005-0000-0000-00007F020000}"/>
    <cellStyle name="Normal 2 3 5 2 5 2" xfId="468" xr:uid="{00000000-0005-0000-0000-000080020000}"/>
    <cellStyle name="Normal 2 3 5 2 5 2 2" xfId="957" xr:uid="{00000000-0005-0000-0000-000081020000}"/>
    <cellStyle name="Normal 2 3 5 2 5 2 3" xfId="1446" xr:uid="{00000000-0005-0000-0000-000082020000}"/>
    <cellStyle name="Normal 2 3 5 2 5 3" xfId="729" xr:uid="{00000000-0005-0000-0000-000083020000}"/>
    <cellStyle name="Normal 2 3 5 2 5 4" xfId="1218" xr:uid="{00000000-0005-0000-0000-000084020000}"/>
    <cellStyle name="Normal 2 3 5 2 6" xfId="273" xr:uid="{00000000-0005-0000-0000-000085020000}"/>
    <cellStyle name="Normal 2 3 5 2 6 2" xfId="501" xr:uid="{00000000-0005-0000-0000-000086020000}"/>
    <cellStyle name="Normal 2 3 5 2 6 2 2" xfId="990" xr:uid="{00000000-0005-0000-0000-000087020000}"/>
    <cellStyle name="Normal 2 3 5 2 6 2 3" xfId="1479" xr:uid="{00000000-0005-0000-0000-000088020000}"/>
    <cellStyle name="Normal 2 3 5 2 6 3" xfId="762" xr:uid="{00000000-0005-0000-0000-000089020000}"/>
    <cellStyle name="Normal 2 3 5 2 6 4" xfId="1251" xr:uid="{00000000-0005-0000-0000-00008A020000}"/>
    <cellStyle name="Normal 2 3 5 2 7" xfId="77" xr:uid="{00000000-0005-0000-0000-00008B020000}"/>
    <cellStyle name="Normal 2 3 5 2 7 2" xfId="566" xr:uid="{00000000-0005-0000-0000-00008C020000}"/>
    <cellStyle name="Normal 2 3 5 2 7 3" xfId="1055" xr:uid="{00000000-0005-0000-0000-00008D020000}"/>
    <cellStyle name="Normal 2 3 5 2 8" xfId="305" xr:uid="{00000000-0005-0000-0000-00008E020000}"/>
    <cellStyle name="Normal 2 3 5 2 8 2" xfId="794" xr:uid="{00000000-0005-0000-0000-00008F020000}"/>
    <cellStyle name="Normal 2 3 5 2 8 3" xfId="1283" xr:uid="{00000000-0005-0000-0000-000090020000}"/>
    <cellStyle name="Normal 2 3 5 2 9" xfId="534" xr:uid="{00000000-0005-0000-0000-000091020000}"/>
    <cellStyle name="Normal 2 3 5 3" xfId="93" xr:uid="{00000000-0005-0000-0000-000092020000}"/>
    <cellStyle name="Normal 2 3 5 3 2" xfId="141" xr:uid="{00000000-0005-0000-0000-000093020000}"/>
    <cellStyle name="Normal 2 3 5 3 2 2" xfId="369" xr:uid="{00000000-0005-0000-0000-000094020000}"/>
    <cellStyle name="Normal 2 3 5 3 2 2 2" xfId="858" xr:uid="{00000000-0005-0000-0000-000095020000}"/>
    <cellStyle name="Normal 2 3 5 3 2 2 3" xfId="1347" xr:uid="{00000000-0005-0000-0000-000096020000}"/>
    <cellStyle name="Normal 2 3 5 3 2 3" xfId="630" xr:uid="{00000000-0005-0000-0000-000097020000}"/>
    <cellStyle name="Normal 2 3 5 3 2 4" xfId="1119" xr:uid="{00000000-0005-0000-0000-000098020000}"/>
    <cellStyle name="Normal 2 3 5 3 3" xfId="321" xr:uid="{00000000-0005-0000-0000-000099020000}"/>
    <cellStyle name="Normal 2 3 5 3 3 2" xfId="810" xr:uid="{00000000-0005-0000-0000-00009A020000}"/>
    <cellStyle name="Normal 2 3 5 3 3 3" xfId="1299" xr:uid="{00000000-0005-0000-0000-00009B020000}"/>
    <cellStyle name="Normal 2 3 5 3 4" xfId="582" xr:uid="{00000000-0005-0000-0000-00009C020000}"/>
    <cellStyle name="Normal 2 3 5 3 5" xfId="1071" xr:uid="{00000000-0005-0000-0000-00009D020000}"/>
    <cellStyle name="Normal 2 3 5 4" xfId="109" xr:uid="{00000000-0005-0000-0000-00009E020000}"/>
    <cellStyle name="Normal 2 3 5 4 2" xfId="337" xr:uid="{00000000-0005-0000-0000-00009F020000}"/>
    <cellStyle name="Normal 2 3 5 4 2 2" xfId="826" xr:uid="{00000000-0005-0000-0000-0000A0020000}"/>
    <cellStyle name="Normal 2 3 5 4 2 3" xfId="1315" xr:uid="{00000000-0005-0000-0000-0000A1020000}"/>
    <cellStyle name="Normal 2 3 5 4 3" xfId="598" xr:uid="{00000000-0005-0000-0000-0000A2020000}"/>
    <cellStyle name="Normal 2 3 5 4 4" xfId="1087" xr:uid="{00000000-0005-0000-0000-0000A3020000}"/>
    <cellStyle name="Normal 2 3 5 5" xfId="158" xr:uid="{00000000-0005-0000-0000-0000A4020000}"/>
    <cellStyle name="Normal 2 3 5 5 2" xfId="386" xr:uid="{00000000-0005-0000-0000-0000A5020000}"/>
    <cellStyle name="Normal 2 3 5 5 2 2" xfId="875" xr:uid="{00000000-0005-0000-0000-0000A6020000}"/>
    <cellStyle name="Normal 2 3 5 5 2 3" xfId="1364" xr:uid="{00000000-0005-0000-0000-0000A7020000}"/>
    <cellStyle name="Normal 2 3 5 5 3" xfId="647" xr:uid="{00000000-0005-0000-0000-0000A8020000}"/>
    <cellStyle name="Normal 2 3 5 5 4" xfId="1136" xr:uid="{00000000-0005-0000-0000-0000A9020000}"/>
    <cellStyle name="Normal 2 3 5 6" xfId="191" xr:uid="{00000000-0005-0000-0000-0000AA020000}"/>
    <cellStyle name="Normal 2 3 5 6 2" xfId="419" xr:uid="{00000000-0005-0000-0000-0000AB020000}"/>
    <cellStyle name="Normal 2 3 5 6 2 2" xfId="908" xr:uid="{00000000-0005-0000-0000-0000AC020000}"/>
    <cellStyle name="Normal 2 3 5 6 2 3" xfId="1397" xr:uid="{00000000-0005-0000-0000-0000AD020000}"/>
    <cellStyle name="Normal 2 3 5 6 3" xfId="680" xr:uid="{00000000-0005-0000-0000-0000AE020000}"/>
    <cellStyle name="Normal 2 3 5 6 4" xfId="1169" xr:uid="{00000000-0005-0000-0000-0000AF020000}"/>
    <cellStyle name="Normal 2 3 5 7" xfId="224" xr:uid="{00000000-0005-0000-0000-0000B0020000}"/>
    <cellStyle name="Normal 2 3 5 7 2" xfId="452" xr:uid="{00000000-0005-0000-0000-0000B1020000}"/>
    <cellStyle name="Normal 2 3 5 7 2 2" xfId="941" xr:uid="{00000000-0005-0000-0000-0000B2020000}"/>
    <cellStyle name="Normal 2 3 5 7 2 3" xfId="1430" xr:uid="{00000000-0005-0000-0000-0000B3020000}"/>
    <cellStyle name="Normal 2 3 5 7 3" xfId="713" xr:uid="{00000000-0005-0000-0000-0000B4020000}"/>
    <cellStyle name="Normal 2 3 5 7 4" xfId="1202" xr:uid="{00000000-0005-0000-0000-0000B5020000}"/>
    <cellStyle name="Normal 2 3 5 8" xfId="257" xr:uid="{00000000-0005-0000-0000-0000B6020000}"/>
    <cellStyle name="Normal 2 3 5 8 2" xfId="485" xr:uid="{00000000-0005-0000-0000-0000B7020000}"/>
    <cellStyle name="Normal 2 3 5 8 2 2" xfId="974" xr:uid="{00000000-0005-0000-0000-0000B8020000}"/>
    <cellStyle name="Normal 2 3 5 8 2 3" xfId="1463" xr:uid="{00000000-0005-0000-0000-0000B9020000}"/>
    <cellStyle name="Normal 2 3 5 8 3" xfId="746" xr:uid="{00000000-0005-0000-0000-0000BA020000}"/>
    <cellStyle name="Normal 2 3 5 8 4" xfId="1235" xr:uid="{00000000-0005-0000-0000-0000BB020000}"/>
    <cellStyle name="Normal 2 3 5 9" xfId="61" xr:uid="{00000000-0005-0000-0000-0000BC020000}"/>
    <cellStyle name="Normal 2 3 5 9 2" xfId="550" xr:uid="{00000000-0005-0000-0000-0000BD020000}"/>
    <cellStyle name="Normal 2 3 5 9 3" xfId="1039" xr:uid="{00000000-0005-0000-0000-0000BE020000}"/>
    <cellStyle name="Normal 2 3 6" xfId="37" xr:uid="{00000000-0005-0000-0000-0000BF020000}"/>
    <cellStyle name="Normal 2 3 6 10" xfId="1015" xr:uid="{00000000-0005-0000-0000-0000C0020000}"/>
    <cellStyle name="Normal 2 3 6 2" xfId="117" xr:uid="{00000000-0005-0000-0000-0000C1020000}"/>
    <cellStyle name="Normal 2 3 6 2 2" xfId="345" xr:uid="{00000000-0005-0000-0000-0000C2020000}"/>
    <cellStyle name="Normal 2 3 6 2 2 2" xfId="834" xr:uid="{00000000-0005-0000-0000-0000C3020000}"/>
    <cellStyle name="Normal 2 3 6 2 2 3" xfId="1323" xr:uid="{00000000-0005-0000-0000-0000C4020000}"/>
    <cellStyle name="Normal 2 3 6 2 3" xfId="606" xr:uid="{00000000-0005-0000-0000-0000C5020000}"/>
    <cellStyle name="Normal 2 3 6 2 4" xfId="1095" xr:uid="{00000000-0005-0000-0000-0000C6020000}"/>
    <cellStyle name="Normal 2 3 6 3" xfId="166" xr:uid="{00000000-0005-0000-0000-0000C7020000}"/>
    <cellStyle name="Normal 2 3 6 3 2" xfId="394" xr:uid="{00000000-0005-0000-0000-0000C8020000}"/>
    <cellStyle name="Normal 2 3 6 3 2 2" xfId="883" xr:uid="{00000000-0005-0000-0000-0000C9020000}"/>
    <cellStyle name="Normal 2 3 6 3 2 3" xfId="1372" xr:uid="{00000000-0005-0000-0000-0000CA020000}"/>
    <cellStyle name="Normal 2 3 6 3 3" xfId="655" xr:uid="{00000000-0005-0000-0000-0000CB020000}"/>
    <cellStyle name="Normal 2 3 6 3 4" xfId="1144" xr:uid="{00000000-0005-0000-0000-0000CC020000}"/>
    <cellStyle name="Normal 2 3 6 4" xfId="199" xr:uid="{00000000-0005-0000-0000-0000CD020000}"/>
    <cellStyle name="Normal 2 3 6 4 2" xfId="427" xr:uid="{00000000-0005-0000-0000-0000CE020000}"/>
    <cellStyle name="Normal 2 3 6 4 2 2" xfId="916" xr:uid="{00000000-0005-0000-0000-0000CF020000}"/>
    <cellStyle name="Normal 2 3 6 4 2 3" xfId="1405" xr:uid="{00000000-0005-0000-0000-0000D0020000}"/>
    <cellStyle name="Normal 2 3 6 4 3" xfId="688" xr:uid="{00000000-0005-0000-0000-0000D1020000}"/>
    <cellStyle name="Normal 2 3 6 4 4" xfId="1177" xr:uid="{00000000-0005-0000-0000-0000D2020000}"/>
    <cellStyle name="Normal 2 3 6 5" xfId="232" xr:uid="{00000000-0005-0000-0000-0000D3020000}"/>
    <cellStyle name="Normal 2 3 6 5 2" xfId="460" xr:uid="{00000000-0005-0000-0000-0000D4020000}"/>
    <cellStyle name="Normal 2 3 6 5 2 2" xfId="949" xr:uid="{00000000-0005-0000-0000-0000D5020000}"/>
    <cellStyle name="Normal 2 3 6 5 2 3" xfId="1438" xr:uid="{00000000-0005-0000-0000-0000D6020000}"/>
    <cellStyle name="Normal 2 3 6 5 3" xfId="721" xr:uid="{00000000-0005-0000-0000-0000D7020000}"/>
    <cellStyle name="Normal 2 3 6 5 4" xfId="1210" xr:uid="{00000000-0005-0000-0000-0000D8020000}"/>
    <cellStyle name="Normal 2 3 6 6" xfId="265" xr:uid="{00000000-0005-0000-0000-0000D9020000}"/>
    <cellStyle name="Normal 2 3 6 6 2" xfId="493" xr:uid="{00000000-0005-0000-0000-0000DA020000}"/>
    <cellStyle name="Normal 2 3 6 6 2 2" xfId="982" xr:uid="{00000000-0005-0000-0000-0000DB020000}"/>
    <cellStyle name="Normal 2 3 6 6 2 3" xfId="1471" xr:uid="{00000000-0005-0000-0000-0000DC020000}"/>
    <cellStyle name="Normal 2 3 6 6 3" xfId="754" xr:uid="{00000000-0005-0000-0000-0000DD020000}"/>
    <cellStyle name="Normal 2 3 6 6 4" xfId="1243" xr:uid="{00000000-0005-0000-0000-0000DE020000}"/>
    <cellStyle name="Normal 2 3 6 7" xfId="69" xr:uid="{00000000-0005-0000-0000-0000DF020000}"/>
    <cellStyle name="Normal 2 3 6 7 2" xfId="558" xr:uid="{00000000-0005-0000-0000-0000E0020000}"/>
    <cellStyle name="Normal 2 3 6 7 3" xfId="1047" xr:uid="{00000000-0005-0000-0000-0000E1020000}"/>
    <cellStyle name="Normal 2 3 6 8" xfId="297" xr:uid="{00000000-0005-0000-0000-0000E2020000}"/>
    <cellStyle name="Normal 2 3 6 8 2" xfId="786" xr:uid="{00000000-0005-0000-0000-0000E3020000}"/>
    <cellStyle name="Normal 2 3 6 8 3" xfId="1275" xr:uid="{00000000-0005-0000-0000-0000E4020000}"/>
    <cellStyle name="Normal 2 3 6 9" xfId="526" xr:uid="{00000000-0005-0000-0000-0000E5020000}"/>
    <cellStyle name="Normal 2 3 7" xfId="85" xr:uid="{00000000-0005-0000-0000-0000E6020000}"/>
    <cellStyle name="Normal 2 3 7 2" xfId="133" xr:uid="{00000000-0005-0000-0000-0000E7020000}"/>
    <cellStyle name="Normal 2 3 7 2 2" xfId="361" xr:uid="{00000000-0005-0000-0000-0000E8020000}"/>
    <cellStyle name="Normal 2 3 7 2 2 2" xfId="850" xr:uid="{00000000-0005-0000-0000-0000E9020000}"/>
    <cellStyle name="Normal 2 3 7 2 2 3" xfId="1339" xr:uid="{00000000-0005-0000-0000-0000EA020000}"/>
    <cellStyle name="Normal 2 3 7 2 3" xfId="622" xr:uid="{00000000-0005-0000-0000-0000EB020000}"/>
    <cellStyle name="Normal 2 3 7 2 4" xfId="1111" xr:uid="{00000000-0005-0000-0000-0000EC020000}"/>
    <cellStyle name="Normal 2 3 7 3" xfId="313" xr:uid="{00000000-0005-0000-0000-0000ED020000}"/>
    <cellStyle name="Normal 2 3 7 3 2" xfId="802" xr:uid="{00000000-0005-0000-0000-0000EE020000}"/>
    <cellStyle name="Normal 2 3 7 3 3" xfId="1291" xr:uid="{00000000-0005-0000-0000-0000EF020000}"/>
    <cellStyle name="Normal 2 3 7 4" xfId="574" xr:uid="{00000000-0005-0000-0000-0000F0020000}"/>
    <cellStyle name="Normal 2 3 7 5" xfId="1063" xr:uid="{00000000-0005-0000-0000-0000F1020000}"/>
    <cellStyle name="Normal 2 3 8" xfId="101" xr:uid="{00000000-0005-0000-0000-0000F2020000}"/>
    <cellStyle name="Normal 2 3 8 2" xfId="329" xr:uid="{00000000-0005-0000-0000-0000F3020000}"/>
    <cellStyle name="Normal 2 3 8 2 2" xfId="818" xr:uid="{00000000-0005-0000-0000-0000F4020000}"/>
    <cellStyle name="Normal 2 3 8 2 3" xfId="1307" xr:uid="{00000000-0005-0000-0000-0000F5020000}"/>
    <cellStyle name="Normal 2 3 8 3" xfId="590" xr:uid="{00000000-0005-0000-0000-0000F6020000}"/>
    <cellStyle name="Normal 2 3 8 4" xfId="1079" xr:uid="{00000000-0005-0000-0000-0000F7020000}"/>
    <cellStyle name="Normal 2 3 9" xfId="150" xr:uid="{00000000-0005-0000-0000-0000F8020000}"/>
    <cellStyle name="Normal 2 3 9 2" xfId="378" xr:uid="{00000000-0005-0000-0000-0000F9020000}"/>
    <cellStyle name="Normal 2 3 9 2 2" xfId="867" xr:uid="{00000000-0005-0000-0000-0000FA020000}"/>
    <cellStyle name="Normal 2 3 9 2 3" xfId="1356" xr:uid="{00000000-0005-0000-0000-0000FB020000}"/>
    <cellStyle name="Normal 2 3 9 3" xfId="639" xr:uid="{00000000-0005-0000-0000-0000FC020000}"/>
    <cellStyle name="Normal 2 3 9 4" xfId="1128" xr:uid="{00000000-0005-0000-0000-0000FD020000}"/>
    <cellStyle name="Normal 2 4" xfId="22" xr:uid="{00000000-0005-0000-0000-0000FE020000}"/>
    <cellStyle name="Normal 2 4 10" xfId="217" xr:uid="{00000000-0005-0000-0000-0000FF020000}"/>
    <cellStyle name="Normal 2 4 10 2" xfId="445" xr:uid="{00000000-0005-0000-0000-000000030000}"/>
    <cellStyle name="Normal 2 4 10 2 2" xfId="934" xr:uid="{00000000-0005-0000-0000-000001030000}"/>
    <cellStyle name="Normal 2 4 10 2 3" xfId="1423" xr:uid="{00000000-0005-0000-0000-000002030000}"/>
    <cellStyle name="Normal 2 4 10 3" xfId="706" xr:uid="{00000000-0005-0000-0000-000003030000}"/>
    <cellStyle name="Normal 2 4 10 4" xfId="1195" xr:uid="{00000000-0005-0000-0000-000004030000}"/>
    <cellStyle name="Normal 2 4 11" xfId="250" xr:uid="{00000000-0005-0000-0000-000005030000}"/>
    <cellStyle name="Normal 2 4 11 2" xfId="478" xr:uid="{00000000-0005-0000-0000-000006030000}"/>
    <cellStyle name="Normal 2 4 11 2 2" xfId="967" xr:uid="{00000000-0005-0000-0000-000007030000}"/>
    <cellStyle name="Normal 2 4 11 2 3" xfId="1456" xr:uid="{00000000-0005-0000-0000-000008030000}"/>
    <cellStyle name="Normal 2 4 11 3" xfId="739" xr:uid="{00000000-0005-0000-0000-000009030000}"/>
    <cellStyle name="Normal 2 4 11 4" xfId="1228" xr:uid="{00000000-0005-0000-0000-00000A030000}"/>
    <cellStyle name="Normal 2 4 12" xfId="54" xr:uid="{00000000-0005-0000-0000-00000B030000}"/>
    <cellStyle name="Normal 2 4 12 2" xfId="543" xr:uid="{00000000-0005-0000-0000-00000C030000}"/>
    <cellStyle name="Normal 2 4 12 3" xfId="1032" xr:uid="{00000000-0005-0000-0000-00000D030000}"/>
    <cellStyle name="Normal 2 4 13" xfId="282" xr:uid="{00000000-0005-0000-0000-00000E030000}"/>
    <cellStyle name="Normal 2 4 13 2" xfId="771" xr:uid="{00000000-0005-0000-0000-00000F030000}"/>
    <cellStyle name="Normal 2 4 13 3" xfId="1260" xr:uid="{00000000-0005-0000-0000-000010030000}"/>
    <cellStyle name="Normal 2 4 14" xfId="511" xr:uid="{00000000-0005-0000-0000-000011030000}"/>
    <cellStyle name="Normal 2 4 15" xfId="1000" xr:uid="{00000000-0005-0000-0000-000012030000}"/>
    <cellStyle name="Normal 2 4 2" xfId="30" xr:uid="{00000000-0005-0000-0000-000013030000}"/>
    <cellStyle name="Normal 2 4 2 10" xfId="290" xr:uid="{00000000-0005-0000-0000-000014030000}"/>
    <cellStyle name="Normal 2 4 2 10 2" xfId="779" xr:uid="{00000000-0005-0000-0000-000015030000}"/>
    <cellStyle name="Normal 2 4 2 10 3" xfId="1268" xr:uid="{00000000-0005-0000-0000-000016030000}"/>
    <cellStyle name="Normal 2 4 2 11" xfId="519" xr:uid="{00000000-0005-0000-0000-000017030000}"/>
    <cellStyle name="Normal 2 4 2 12" xfId="1008" xr:uid="{00000000-0005-0000-0000-000018030000}"/>
    <cellStyle name="Normal 2 4 2 2" xfId="46" xr:uid="{00000000-0005-0000-0000-000019030000}"/>
    <cellStyle name="Normal 2 4 2 2 10" xfId="1024" xr:uid="{00000000-0005-0000-0000-00001A030000}"/>
    <cellStyle name="Normal 2 4 2 2 2" xfId="126" xr:uid="{00000000-0005-0000-0000-00001B030000}"/>
    <cellStyle name="Normal 2 4 2 2 2 2" xfId="354" xr:uid="{00000000-0005-0000-0000-00001C030000}"/>
    <cellStyle name="Normal 2 4 2 2 2 2 2" xfId="843" xr:uid="{00000000-0005-0000-0000-00001D030000}"/>
    <cellStyle name="Normal 2 4 2 2 2 2 3" xfId="1332" xr:uid="{00000000-0005-0000-0000-00001E030000}"/>
    <cellStyle name="Normal 2 4 2 2 2 3" xfId="615" xr:uid="{00000000-0005-0000-0000-00001F030000}"/>
    <cellStyle name="Normal 2 4 2 2 2 4" xfId="1104" xr:uid="{00000000-0005-0000-0000-000020030000}"/>
    <cellStyle name="Normal 2 4 2 2 3" xfId="175" xr:uid="{00000000-0005-0000-0000-000021030000}"/>
    <cellStyle name="Normal 2 4 2 2 3 2" xfId="403" xr:uid="{00000000-0005-0000-0000-000022030000}"/>
    <cellStyle name="Normal 2 4 2 2 3 2 2" xfId="892" xr:uid="{00000000-0005-0000-0000-000023030000}"/>
    <cellStyle name="Normal 2 4 2 2 3 2 3" xfId="1381" xr:uid="{00000000-0005-0000-0000-000024030000}"/>
    <cellStyle name="Normal 2 4 2 2 3 3" xfId="664" xr:uid="{00000000-0005-0000-0000-000025030000}"/>
    <cellStyle name="Normal 2 4 2 2 3 4" xfId="1153" xr:uid="{00000000-0005-0000-0000-000026030000}"/>
    <cellStyle name="Normal 2 4 2 2 4" xfId="208" xr:uid="{00000000-0005-0000-0000-000027030000}"/>
    <cellStyle name="Normal 2 4 2 2 4 2" xfId="436" xr:uid="{00000000-0005-0000-0000-000028030000}"/>
    <cellStyle name="Normal 2 4 2 2 4 2 2" xfId="925" xr:uid="{00000000-0005-0000-0000-000029030000}"/>
    <cellStyle name="Normal 2 4 2 2 4 2 3" xfId="1414" xr:uid="{00000000-0005-0000-0000-00002A030000}"/>
    <cellStyle name="Normal 2 4 2 2 4 3" xfId="697" xr:uid="{00000000-0005-0000-0000-00002B030000}"/>
    <cellStyle name="Normal 2 4 2 2 4 4" xfId="1186" xr:uid="{00000000-0005-0000-0000-00002C030000}"/>
    <cellStyle name="Normal 2 4 2 2 5" xfId="241" xr:uid="{00000000-0005-0000-0000-00002D030000}"/>
    <cellStyle name="Normal 2 4 2 2 5 2" xfId="469" xr:uid="{00000000-0005-0000-0000-00002E030000}"/>
    <cellStyle name="Normal 2 4 2 2 5 2 2" xfId="958" xr:uid="{00000000-0005-0000-0000-00002F030000}"/>
    <cellStyle name="Normal 2 4 2 2 5 2 3" xfId="1447" xr:uid="{00000000-0005-0000-0000-000030030000}"/>
    <cellStyle name="Normal 2 4 2 2 5 3" xfId="730" xr:uid="{00000000-0005-0000-0000-000031030000}"/>
    <cellStyle name="Normal 2 4 2 2 5 4" xfId="1219" xr:uid="{00000000-0005-0000-0000-000032030000}"/>
    <cellStyle name="Normal 2 4 2 2 6" xfId="274" xr:uid="{00000000-0005-0000-0000-000033030000}"/>
    <cellStyle name="Normal 2 4 2 2 6 2" xfId="502" xr:uid="{00000000-0005-0000-0000-000034030000}"/>
    <cellStyle name="Normal 2 4 2 2 6 2 2" xfId="991" xr:uid="{00000000-0005-0000-0000-000035030000}"/>
    <cellStyle name="Normal 2 4 2 2 6 2 3" xfId="1480" xr:uid="{00000000-0005-0000-0000-000036030000}"/>
    <cellStyle name="Normal 2 4 2 2 6 3" xfId="763" xr:uid="{00000000-0005-0000-0000-000037030000}"/>
    <cellStyle name="Normal 2 4 2 2 6 4" xfId="1252" xr:uid="{00000000-0005-0000-0000-000038030000}"/>
    <cellStyle name="Normal 2 4 2 2 7" xfId="78" xr:uid="{00000000-0005-0000-0000-000039030000}"/>
    <cellStyle name="Normal 2 4 2 2 7 2" xfId="567" xr:uid="{00000000-0005-0000-0000-00003A030000}"/>
    <cellStyle name="Normal 2 4 2 2 7 3" xfId="1056" xr:uid="{00000000-0005-0000-0000-00003B030000}"/>
    <cellStyle name="Normal 2 4 2 2 8" xfId="306" xr:uid="{00000000-0005-0000-0000-00003C030000}"/>
    <cellStyle name="Normal 2 4 2 2 8 2" xfId="795" xr:uid="{00000000-0005-0000-0000-00003D030000}"/>
    <cellStyle name="Normal 2 4 2 2 8 3" xfId="1284" xr:uid="{00000000-0005-0000-0000-00003E030000}"/>
    <cellStyle name="Normal 2 4 2 2 9" xfId="535" xr:uid="{00000000-0005-0000-0000-00003F030000}"/>
    <cellStyle name="Normal 2 4 2 3" xfId="94" xr:uid="{00000000-0005-0000-0000-000040030000}"/>
    <cellStyle name="Normal 2 4 2 3 2" xfId="142" xr:uid="{00000000-0005-0000-0000-000041030000}"/>
    <cellStyle name="Normal 2 4 2 3 2 2" xfId="370" xr:uid="{00000000-0005-0000-0000-000042030000}"/>
    <cellStyle name="Normal 2 4 2 3 2 2 2" xfId="859" xr:uid="{00000000-0005-0000-0000-000043030000}"/>
    <cellStyle name="Normal 2 4 2 3 2 2 3" xfId="1348" xr:uid="{00000000-0005-0000-0000-000044030000}"/>
    <cellStyle name="Normal 2 4 2 3 2 3" xfId="631" xr:uid="{00000000-0005-0000-0000-000045030000}"/>
    <cellStyle name="Normal 2 4 2 3 2 4" xfId="1120" xr:uid="{00000000-0005-0000-0000-000046030000}"/>
    <cellStyle name="Normal 2 4 2 3 3" xfId="322" xr:uid="{00000000-0005-0000-0000-000047030000}"/>
    <cellStyle name="Normal 2 4 2 3 3 2" xfId="811" xr:uid="{00000000-0005-0000-0000-000048030000}"/>
    <cellStyle name="Normal 2 4 2 3 3 3" xfId="1300" xr:uid="{00000000-0005-0000-0000-000049030000}"/>
    <cellStyle name="Normal 2 4 2 3 4" xfId="583" xr:uid="{00000000-0005-0000-0000-00004A030000}"/>
    <cellStyle name="Normal 2 4 2 3 5" xfId="1072" xr:uid="{00000000-0005-0000-0000-00004B030000}"/>
    <cellStyle name="Normal 2 4 2 4" xfId="110" xr:uid="{00000000-0005-0000-0000-00004C030000}"/>
    <cellStyle name="Normal 2 4 2 4 2" xfId="338" xr:uid="{00000000-0005-0000-0000-00004D030000}"/>
    <cellStyle name="Normal 2 4 2 4 2 2" xfId="827" xr:uid="{00000000-0005-0000-0000-00004E030000}"/>
    <cellStyle name="Normal 2 4 2 4 2 3" xfId="1316" xr:uid="{00000000-0005-0000-0000-00004F030000}"/>
    <cellStyle name="Normal 2 4 2 4 3" xfId="599" xr:uid="{00000000-0005-0000-0000-000050030000}"/>
    <cellStyle name="Normal 2 4 2 4 4" xfId="1088" xr:uid="{00000000-0005-0000-0000-000051030000}"/>
    <cellStyle name="Normal 2 4 2 5" xfId="159" xr:uid="{00000000-0005-0000-0000-000052030000}"/>
    <cellStyle name="Normal 2 4 2 5 2" xfId="387" xr:uid="{00000000-0005-0000-0000-000053030000}"/>
    <cellStyle name="Normal 2 4 2 5 2 2" xfId="876" xr:uid="{00000000-0005-0000-0000-000054030000}"/>
    <cellStyle name="Normal 2 4 2 5 2 3" xfId="1365" xr:uid="{00000000-0005-0000-0000-000055030000}"/>
    <cellStyle name="Normal 2 4 2 5 3" xfId="648" xr:uid="{00000000-0005-0000-0000-000056030000}"/>
    <cellStyle name="Normal 2 4 2 5 4" xfId="1137" xr:uid="{00000000-0005-0000-0000-000057030000}"/>
    <cellStyle name="Normal 2 4 2 6" xfId="192" xr:uid="{00000000-0005-0000-0000-000058030000}"/>
    <cellStyle name="Normal 2 4 2 6 2" xfId="420" xr:uid="{00000000-0005-0000-0000-000059030000}"/>
    <cellStyle name="Normal 2 4 2 6 2 2" xfId="909" xr:uid="{00000000-0005-0000-0000-00005A030000}"/>
    <cellStyle name="Normal 2 4 2 6 2 3" xfId="1398" xr:uid="{00000000-0005-0000-0000-00005B030000}"/>
    <cellStyle name="Normal 2 4 2 6 3" xfId="681" xr:uid="{00000000-0005-0000-0000-00005C030000}"/>
    <cellStyle name="Normal 2 4 2 6 4" xfId="1170" xr:uid="{00000000-0005-0000-0000-00005D030000}"/>
    <cellStyle name="Normal 2 4 2 7" xfId="225" xr:uid="{00000000-0005-0000-0000-00005E030000}"/>
    <cellStyle name="Normal 2 4 2 7 2" xfId="453" xr:uid="{00000000-0005-0000-0000-00005F030000}"/>
    <cellStyle name="Normal 2 4 2 7 2 2" xfId="942" xr:uid="{00000000-0005-0000-0000-000060030000}"/>
    <cellStyle name="Normal 2 4 2 7 2 3" xfId="1431" xr:uid="{00000000-0005-0000-0000-000061030000}"/>
    <cellStyle name="Normal 2 4 2 7 3" xfId="714" xr:uid="{00000000-0005-0000-0000-000062030000}"/>
    <cellStyle name="Normal 2 4 2 7 4" xfId="1203" xr:uid="{00000000-0005-0000-0000-000063030000}"/>
    <cellStyle name="Normal 2 4 2 8" xfId="258" xr:uid="{00000000-0005-0000-0000-000064030000}"/>
    <cellStyle name="Normal 2 4 2 8 2" xfId="486" xr:uid="{00000000-0005-0000-0000-000065030000}"/>
    <cellStyle name="Normal 2 4 2 8 2 2" xfId="975" xr:uid="{00000000-0005-0000-0000-000066030000}"/>
    <cellStyle name="Normal 2 4 2 8 2 3" xfId="1464" xr:uid="{00000000-0005-0000-0000-000067030000}"/>
    <cellStyle name="Normal 2 4 2 8 3" xfId="747" xr:uid="{00000000-0005-0000-0000-000068030000}"/>
    <cellStyle name="Normal 2 4 2 8 4" xfId="1236" xr:uid="{00000000-0005-0000-0000-000069030000}"/>
    <cellStyle name="Normal 2 4 2 9" xfId="62" xr:uid="{00000000-0005-0000-0000-00006A030000}"/>
    <cellStyle name="Normal 2 4 2 9 2" xfId="551" xr:uid="{00000000-0005-0000-0000-00006B030000}"/>
    <cellStyle name="Normal 2 4 2 9 3" xfId="1040" xr:uid="{00000000-0005-0000-0000-00006C030000}"/>
    <cellStyle name="Normal 2 4 3" xfId="31" xr:uid="{00000000-0005-0000-0000-00006D030000}"/>
    <cellStyle name="Normal 2 4 3 10" xfId="291" xr:uid="{00000000-0005-0000-0000-00006E030000}"/>
    <cellStyle name="Normal 2 4 3 10 2" xfId="780" xr:uid="{00000000-0005-0000-0000-00006F030000}"/>
    <cellStyle name="Normal 2 4 3 10 3" xfId="1269" xr:uid="{00000000-0005-0000-0000-000070030000}"/>
    <cellStyle name="Normal 2 4 3 11" xfId="520" xr:uid="{00000000-0005-0000-0000-000071030000}"/>
    <cellStyle name="Normal 2 4 3 12" xfId="1009" xr:uid="{00000000-0005-0000-0000-000072030000}"/>
    <cellStyle name="Normal 2 4 3 2" xfId="47" xr:uid="{00000000-0005-0000-0000-000073030000}"/>
    <cellStyle name="Normal 2 4 3 2 10" xfId="1025" xr:uid="{00000000-0005-0000-0000-000074030000}"/>
    <cellStyle name="Normal 2 4 3 2 2" xfId="127" xr:uid="{00000000-0005-0000-0000-000075030000}"/>
    <cellStyle name="Normal 2 4 3 2 2 2" xfId="355" xr:uid="{00000000-0005-0000-0000-000076030000}"/>
    <cellStyle name="Normal 2 4 3 2 2 2 2" xfId="844" xr:uid="{00000000-0005-0000-0000-000077030000}"/>
    <cellStyle name="Normal 2 4 3 2 2 2 3" xfId="1333" xr:uid="{00000000-0005-0000-0000-000078030000}"/>
    <cellStyle name="Normal 2 4 3 2 2 3" xfId="616" xr:uid="{00000000-0005-0000-0000-000079030000}"/>
    <cellStyle name="Normal 2 4 3 2 2 4" xfId="1105" xr:uid="{00000000-0005-0000-0000-00007A030000}"/>
    <cellStyle name="Normal 2 4 3 2 3" xfId="176" xr:uid="{00000000-0005-0000-0000-00007B030000}"/>
    <cellStyle name="Normal 2 4 3 2 3 2" xfId="404" xr:uid="{00000000-0005-0000-0000-00007C030000}"/>
    <cellStyle name="Normal 2 4 3 2 3 2 2" xfId="893" xr:uid="{00000000-0005-0000-0000-00007D030000}"/>
    <cellStyle name="Normal 2 4 3 2 3 2 3" xfId="1382" xr:uid="{00000000-0005-0000-0000-00007E030000}"/>
    <cellStyle name="Normal 2 4 3 2 3 3" xfId="665" xr:uid="{00000000-0005-0000-0000-00007F030000}"/>
    <cellStyle name="Normal 2 4 3 2 3 4" xfId="1154" xr:uid="{00000000-0005-0000-0000-000080030000}"/>
    <cellStyle name="Normal 2 4 3 2 4" xfId="209" xr:uid="{00000000-0005-0000-0000-000081030000}"/>
    <cellStyle name="Normal 2 4 3 2 4 2" xfId="437" xr:uid="{00000000-0005-0000-0000-000082030000}"/>
    <cellStyle name="Normal 2 4 3 2 4 2 2" xfId="926" xr:uid="{00000000-0005-0000-0000-000083030000}"/>
    <cellStyle name="Normal 2 4 3 2 4 2 3" xfId="1415" xr:uid="{00000000-0005-0000-0000-000084030000}"/>
    <cellStyle name="Normal 2 4 3 2 4 3" xfId="698" xr:uid="{00000000-0005-0000-0000-000085030000}"/>
    <cellStyle name="Normal 2 4 3 2 4 4" xfId="1187" xr:uid="{00000000-0005-0000-0000-000086030000}"/>
    <cellStyle name="Normal 2 4 3 2 5" xfId="242" xr:uid="{00000000-0005-0000-0000-000087030000}"/>
    <cellStyle name="Normal 2 4 3 2 5 2" xfId="470" xr:uid="{00000000-0005-0000-0000-000088030000}"/>
    <cellStyle name="Normal 2 4 3 2 5 2 2" xfId="959" xr:uid="{00000000-0005-0000-0000-000089030000}"/>
    <cellStyle name="Normal 2 4 3 2 5 2 3" xfId="1448" xr:uid="{00000000-0005-0000-0000-00008A030000}"/>
    <cellStyle name="Normal 2 4 3 2 5 3" xfId="731" xr:uid="{00000000-0005-0000-0000-00008B030000}"/>
    <cellStyle name="Normal 2 4 3 2 5 4" xfId="1220" xr:uid="{00000000-0005-0000-0000-00008C030000}"/>
    <cellStyle name="Normal 2 4 3 2 6" xfId="275" xr:uid="{00000000-0005-0000-0000-00008D030000}"/>
    <cellStyle name="Normal 2 4 3 2 6 2" xfId="503" xr:uid="{00000000-0005-0000-0000-00008E030000}"/>
    <cellStyle name="Normal 2 4 3 2 6 2 2" xfId="992" xr:uid="{00000000-0005-0000-0000-00008F030000}"/>
    <cellStyle name="Normal 2 4 3 2 6 2 3" xfId="1481" xr:uid="{00000000-0005-0000-0000-000090030000}"/>
    <cellStyle name="Normal 2 4 3 2 6 3" xfId="764" xr:uid="{00000000-0005-0000-0000-000091030000}"/>
    <cellStyle name="Normal 2 4 3 2 6 4" xfId="1253" xr:uid="{00000000-0005-0000-0000-000092030000}"/>
    <cellStyle name="Normal 2 4 3 2 7" xfId="79" xr:uid="{00000000-0005-0000-0000-000093030000}"/>
    <cellStyle name="Normal 2 4 3 2 7 2" xfId="568" xr:uid="{00000000-0005-0000-0000-000094030000}"/>
    <cellStyle name="Normal 2 4 3 2 7 3" xfId="1057" xr:uid="{00000000-0005-0000-0000-000095030000}"/>
    <cellStyle name="Normal 2 4 3 2 8" xfId="307" xr:uid="{00000000-0005-0000-0000-000096030000}"/>
    <cellStyle name="Normal 2 4 3 2 8 2" xfId="796" xr:uid="{00000000-0005-0000-0000-000097030000}"/>
    <cellStyle name="Normal 2 4 3 2 8 3" xfId="1285" xr:uid="{00000000-0005-0000-0000-000098030000}"/>
    <cellStyle name="Normal 2 4 3 2 9" xfId="536" xr:uid="{00000000-0005-0000-0000-000099030000}"/>
    <cellStyle name="Normal 2 4 3 3" xfId="95" xr:uid="{00000000-0005-0000-0000-00009A030000}"/>
    <cellStyle name="Normal 2 4 3 3 2" xfId="143" xr:uid="{00000000-0005-0000-0000-00009B030000}"/>
    <cellStyle name="Normal 2 4 3 3 2 2" xfId="371" xr:uid="{00000000-0005-0000-0000-00009C030000}"/>
    <cellStyle name="Normal 2 4 3 3 2 2 2" xfId="860" xr:uid="{00000000-0005-0000-0000-00009D030000}"/>
    <cellStyle name="Normal 2 4 3 3 2 2 3" xfId="1349" xr:uid="{00000000-0005-0000-0000-00009E030000}"/>
    <cellStyle name="Normal 2 4 3 3 2 3" xfId="632" xr:uid="{00000000-0005-0000-0000-00009F030000}"/>
    <cellStyle name="Normal 2 4 3 3 2 4" xfId="1121" xr:uid="{00000000-0005-0000-0000-0000A0030000}"/>
    <cellStyle name="Normal 2 4 3 3 3" xfId="323" xr:uid="{00000000-0005-0000-0000-0000A1030000}"/>
    <cellStyle name="Normal 2 4 3 3 3 2" xfId="812" xr:uid="{00000000-0005-0000-0000-0000A2030000}"/>
    <cellStyle name="Normal 2 4 3 3 3 3" xfId="1301" xr:uid="{00000000-0005-0000-0000-0000A3030000}"/>
    <cellStyle name="Normal 2 4 3 3 4" xfId="584" xr:uid="{00000000-0005-0000-0000-0000A4030000}"/>
    <cellStyle name="Normal 2 4 3 3 5" xfId="1073" xr:uid="{00000000-0005-0000-0000-0000A5030000}"/>
    <cellStyle name="Normal 2 4 3 4" xfId="111" xr:uid="{00000000-0005-0000-0000-0000A6030000}"/>
    <cellStyle name="Normal 2 4 3 4 2" xfId="339" xr:uid="{00000000-0005-0000-0000-0000A7030000}"/>
    <cellStyle name="Normal 2 4 3 4 2 2" xfId="828" xr:uid="{00000000-0005-0000-0000-0000A8030000}"/>
    <cellStyle name="Normal 2 4 3 4 2 3" xfId="1317" xr:uid="{00000000-0005-0000-0000-0000A9030000}"/>
    <cellStyle name="Normal 2 4 3 4 3" xfId="600" xr:uid="{00000000-0005-0000-0000-0000AA030000}"/>
    <cellStyle name="Normal 2 4 3 4 4" xfId="1089" xr:uid="{00000000-0005-0000-0000-0000AB030000}"/>
    <cellStyle name="Normal 2 4 3 5" xfId="160" xr:uid="{00000000-0005-0000-0000-0000AC030000}"/>
    <cellStyle name="Normal 2 4 3 5 2" xfId="388" xr:uid="{00000000-0005-0000-0000-0000AD030000}"/>
    <cellStyle name="Normal 2 4 3 5 2 2" xfId="877" xr:uid="{00000000-0005-0000-0000-0000AE030000}"/>
    <cellStyle name="Normal 2 4 3 5 2 3" xfId="1366" xr:uid="{00000000-0005-0000-0000-0000AF030000}"/>
    <cellStyle name="Normal 2 4 3 5 3" xfId="649" xr:uid="{00000000-0005-0000-0000-0000B0030000}"/>
    <cellStyle name="Normal 2 4 3 5 4" xfId="1138" xr:uid="{00000000-0005-0000-0000-0000B1030000}"/>
    <cellStyle name="Normal 2 4 3 6" xfId="193" xr:uid="{00000000-0005-0000-0000-0000B2030000}"/>
    <cellStyle name="Normal 2 4 3 6 2" xfId="421" xr:uid="{00000000-0005-0000-0000-0000B3030000}"/>
    <cellStyle name="Normal 2 4 3 6 2 2" xfId="910" xr:uid="{00000000-0005-0000-0000-0000B4030000}"/>
    <cellStyle name="Normal 2 4 3 6 2 3" xfId="1399" xr:uid="{00000000-0005-0000-0000-0000B5030000}"/>
    <cellStyle name="Normal 2 4 3 6 3" xfId="682" xr:uid="{00000000-0005-0000-0000-0000B6030000}"/>
    <cellStyle name="Normal 2 4 3 6 4" xfId="1171" xr:uid="{00000000-0005-0000-0000-0000B7030000}"/>
    <cellStyle name="Normal 2 4 3 7" xfId="226" xr:uid="{00000000-0005-0000-0000-0000B8030000}"/>
    <cellStyle name="Normal 2 4 3 7 2" xfId="454" xr:uid="{00000000-0005-0000-0000-0000B9030000}"/>
    <cellStyle name="Normal 2 4 3 7 2 2" xfId="943" xr:uid="{00000000-0005-0000-0000-0000BA030000}"/>
    <cellStyle name="Normal 2 4 3 7 2 3" xfId="1432" xr:uid="{00000000-0005-0000-0000-0000BB030000}"/>
    <cellStyle name="Normal 2 4 3 7 3" xfId="715" xr:uid="{00000000-0005-0000-0000-0000BC030000}"/>
    <cellStyle name="Normal 2 4 3 7 4" xfId="1204" xr:uid="{00000000-0005-0000-0000-0000BD030000}"/>
    <cellStyle name="Normal 2 4 3 8" xfId="259" xr:uid="{00000000-0005-0000-0000-0000BE030000}"/>
    <cellStyle name="Normal 2 4 3 8 2" xfId="487" xr:uid="{00000000-0005-0000-0000-0000BF030000}"/>
    <cellStyle name="Normal 2 4 3 8 2 2" xfId="976" xr:uid="{00000000-0005-0000-0000-0000C0030000}"/>
    <cellStyle name="Normal 2 4 3 8 2 3" xfId="1465" xr:uid="{00000000-0005-0000-0000-0000C1030000}"/>
    <cellStyle name="Normal 2 4 3 8 3" xfId="748" xr:uid="{00000000-0005-0000-0000-0000C2030000}"/>
    <cellStyle name="Normal 2 4 3 8 4" xfId="1237" xr:uid="{00000000-0005-0000-0000-0000C3030000}"/>
    <cellStyle name="Normal 2 4 3 9" xfId="63" xr:uid="{00000000-0005-0000-0000-0000C4030000}"/>
    <cellStyle name="Normal 2 4 3 9 2" xfId="552" xr:uid="{00000000-0005-0000-0000-0000C5030000}"/>
    <cellStyle name="Normal 2 4 3 9 3" xfId="1041" xr:uid="{00000000-0005-0000-0000-0000C6030000}"/>
    <cellStyle name="Normal 2 4 4" xfId="32" xr:uid="{00000000-0005-0000-0000-0000C7030000}"/>
    <cellStyle name="Normal 2 4 4 10" xfId="292" xr:uid="{00000000-0005-0000-0000-0000C8030000}"/>
    <cellStyle name="Normal 2 4 4 10 2" xfId="781" xr:uid="{00000000-0005-0000-0000-0000C9030000}"/>
    <cellStyle name="Normal 2 4 4 10 3" xfId="1270" xr:uid="{00000000-0005-0000-0000-0000CA030000}"/>
    <cellStyle name="Normal 2 4 4 11" xfId="521" xr:uid="{00000000-0005-0000-0000-0000CB030000}"/>
    <cellStyle name="Normal 2 4 4 12" xfId="1010" xr:uid="{00000000-0005-0000-0000-0000CC030000}"/>
    <cellStyle name="Normal 2 4 4 2" xfId="48" xr:uid="{00000000-0005-0000-0000-0000CD030000}"/>
    <cellStyle name="Normal 2 4 4 2 10" xfId="1026" xr:uid="{00000000-0005-0000-0000-0000CE030000}"/>
    <cellStyle name="Normal 2 4 4 2 2" xfId="128" xr:uid="{00000000-0005-0000-0000-0000CF030000}"/>
    <cellStyle name="Normal 2 4 4 2 2 2" xfId="356" xr:uid="{00000000-0005-0000-0000-0000D0030000}"/>
    <cellStyle name="Normal 2 4 4 2 2 2 2" xfId="845" xr:uid="{00000000-0005-0000-0000-0000D1030000}"/>
    <cellStyle name="Normal 2 4 4 2 2 2 3" xfId="1334" xr:uid="{00000000-0005-0000-0000-0000D2030000}"/>
    <cellStyle name="Normal 2 4 4 2 2 3" xfId="617" xr:uid="{00000000-0005-0000-0000-0000D3030000}"/>
    <cellStyle name="Normal 2 4 4 2 2 4" xfId="1106" xr:uid="{00000000-0005-0000-0000-0000D4030000}"/>
    <cellStyle name="Normal 2 4 4 2 3" xfId="177" xr:uid="{00000000-0005-0000-0000-0000D5030000}"/>
    <cellStyle name="Normal 2 4 4 2 3 2" xfId="405" xr:uid="{00000000-0005-0000-0000-0000D6030000}"/>
    <cellStyle name="Normal 2 4 4 2 3 2 2" xfId="894" xr:uid="{00000000-0005-0000-0000-0000D7030000}"/>
    <cellStyle name="Normal 2 4 4 2 3 2 3" xfId="1383" xr:uid="{00000000-0005-0000-0000-0000D8030000}"/>
    <cellStyle name="Normal 2 4 4 2 3 3" xfId="666" xr:uid="{00000000-0005-0000-0000-0000D9030000}"/>
    <cellStyle name="Normal 2 4 4 2 3 4" xfId="1155" xr:uid="{00000000-0005-0000-0000-0000DA030000}"/>
    <cellStyle name="Normal 2 4 4 2 4" xfId="210" xr:uid="{00000000-0005-0000-0000-0000DB030000}"/>
    <cellStyle name="Normal 2 4 4 2 4 2" xfId="438" xr:uid="{00000000-0005-0000-0000-0000DC030000}"/>
    <cellStyle name="Normal 2 4 4 2 4 2 2" xfId="927" xr:uid="{00000000-0005-0000-0000-0000DD030000}"/>
    <cellStyle name="Normal 2 4 4 2 4 2 3" xfId="1416" xr:uid="{00000000-0005-0000-0000-0000DE030000}"/>
    <cellStyle name="Normal 2 4 4 2 4 3" xfId="699" xr:uid="{00000000-0005-0000-0000-0000DF030000}"/>
    <cellStyle name="Normal 2 4 4 2 4 4" xfId="1188" xr:uid="{00000000-0005-0000-0000-0000E0030000}"/>
    <cellStyle name="Normal 2 4 4 2 5" xfId="243" xr:uid="{00000000-0005-0000-0000-0000E1030000}"/>
    <cellStyle name="Normal 2 4 4 2 5 2" xfId="471" xr:uid="{00000000-0005-0000-0000-0000E2030000}"/>
    <cellStyle name="Normal 2 4 4 2 5 2 2" xfId="960" xr:uid="{00000000-0005-0000-0000-0000E3030000}"/>
    <cellStyle name="Normal 2 4 4 2 5 2 3" xfId="1449" xr:uid="{00000000-0005-0000-0000-0000E4030000}"/>
    <cellStyle name="Normal 2 4 4 2 5 3" xfId="732" xr:uid="{00000000-0005-0000-0000-0000E5030000}"/>
    <cellStyle name="Normal 2 4 4 2 5 4" xfId="1221" xr:uid="{00000000-0005-0000-0000-0000E6030000}"/>
    <cellStyle name="Normal 2 4 4 2 6" xfId="276" xr:uid="{00000000-0005-0000-0000-0000E7030000}"/>
    <cellStyle name="Normal 2 4 4 2 6 2" xfId="504" xr:uid="{00000000-0005-0000-0000-0000E8030000}"/>
    <cellStyle name="Normal 2 4 4 2 6 2 2" xfId="993" xr:uid="{00000000-0005-0000-0000-0000E9030000}"/>
    <cellStyle name="Normal 2 4 4 2 6 2 3" xfId="1482" xr:uid="{00000000-0005-0000-0000-0000EA030000}"/>
    <cellStyle name="Normal 2 4 4 2 6 3" xfId="765" xr:uid="{00000000-0005-0000-0000-0000EB030000}"/>
    <cellStyle name="Normal 2 4 4 2 6 4" xfId="1254" xr:uid="{00000000-0005-0000-0000-0000EC030000}"/>
    <cellStyle name="Normal 2 4 4 2 7" xfId="80" xr:uid="{00000000-0005-0000-0000-0000ED030000}"/>
    <cellStyle name="Normal 2 4 4 2 7 2" xfId="569" xr:uid="{00000000-0005-0000-0000-0000EE030000}"/>
    <cellStyle name="Normal 2 4 4 2 7 3" xfId="1058" xr:uid="{00000000-0005-0000-0000-0000EF030000}"/>
    <cellStyle name="Normal 2 4 4 2 8" xfId="308" xr:uid="{00000000-0005-0000-0000-0000F0030000}"/>
    <cellStyle name="Normal 2 4 4 2 8 2" xfId="797" xr:uid="{00000000-0005-0000-0000-0000F1030000}"/>
    <cellStyle name="Normal 2 4 4 2 8 3" xfId="1286" xr:uid="{00000000-0005-0000-0000-0000F2030000}"/>
    <cellStyle name="Normal 2 4 4 2 9" xfId="537" xr:uid="{00000000-0005-0000-0000-0000F3030000}"/>
    <cellStyle name="Normal 2 4 4 3" xfId="96" xr:uid="{00000000-0005-0000-0000-0000F4030000}"/>
    <cellStyle name="Normal 2 4 4 3 2" xfId="144" xr:uid="{00000000-0005-0000-0000-0000F5030000}"/>
    <cellStyle name="Normal 2 4 4 3 2 2" xfId="372" xr:uid="{00000000-0005-0000-0000-0000F6030000}"/>
    <cellStyle name="Normal 2 4 4 3 2 2 2" xfId="861" xr:uid="{00000000-0005-0000-0000-0000F7030000}"/>
    <cellStyle name="Normal 2 4 4 3 2 2 3" xfId="1350" xr:uid="{00000000-0005-0000-0000-0000F8030000}"/>
    <cellStyle name="Normal 2 4 4 3 2 3" xfId="633" xr:uid="{00000000-0005-0000-0000-0000F9030000}"/>
    <cellStyle name="Normal 2 4 4 3 2 4" xfId="1122" xr:uid="{00000000-0005-0000-0000-0000FA030000}"/>
    <cellStyle name="Normal 2 4 4 3 3" xfId="324" xr:uid="{00000000-0005-0000-0000-0000FB030000}"/>
    <cellStyle name="Normal 2 4 4 3 3 2" xfId="813" xr:uid="{00000000-0005-0000-0000-0000FC030000}"/>
    <cellStyle name="Normal 2 4 4 3 3 3" xfId="1302" xr:uid="{00000000-0005-0000-0000-0000FD030000}"/>
    <cellStyle name="Normal 2 4 4 3 4" xfId="585" xr:uid="{00000000-0005-0000-0000-0000FE030000}"/>
    <cellStyle name="Normal 2 4 4 3 5" xfId="1074" xr:uid="{00000000-0005-0000-0000-0000FF030000}"/>
    <cellStyle name="Normal 2 4 4 4" xfId="112" xr:uid="{00000000-0005-0000-0000-000000040000}"/>
    <cellStyle name="Normal 2 4 4 4 2" xfId="340" xr:uid="{00000000-0005-0000-0000-000001040000}"/>
    <cellStyle name="Normal 2 4 4 4 2 2" xfId="829" xr:uid="{00000000-0005-0000-0000-000002040000}"/>
    <cellStyle name="Normal 2 4 4 4 2 3" xfId="1318" xr:uid="{00000000-0005-0000-0000-000003040000}"/>
    <cellStyle name="Normal 2 4 4 4 3" xfId="601" xr:uid="{00000000-0005-0000-0000-000004040000}"/>
    <cellStyle name="Normal 2 4 4 4 4" xfId="1090" xr:uid="{00000000-0005-0000-0000-000005040000}"/>
    <cellStyle name="Normal 2 4 4 5" xfId="161" xr:uid="{00000000-0005-0000-0000-000006040000}"/>
    <cellStyle name="Normal 2 4 4 5 2" xfId="389" xr:uid="{00000000-0005-0000-0000-000007040000}"/>
    <cellStyle name="Normal 2 4 4 5 2 2" xfId="878" xr:uid="{00000000-0005-0000-0000-000008040000}"/>
    <cellStyle name="Normal 2 4 4 5 2 3" xfId="1367" xr:uid="{00000000-0005-0000-0000-000009040000}"/>
    <cellStyle name="Normal 2 4 4 5 3" xfId="650" xr:uid="{00000000-0005-0000-0000-00000A040000}"/>
    <cellStyle name="Normal 2 4 4 5 4" xfId="1139" xr:uid="{00000000-0005-0000-0000-00000B040000}"/>
    <cellStyle name="Normal 2 4 4 6" xfId="194" xr:uid="{00000000-0005-0000-0000-00000C040000}"/>
    <cellStyle name="Normal 2 4 4 6 2" xfId="422" xr:uid="{00000000-0005-0000-0000-00000D040000}"/>
    <cellStyle name="Normal 2 4 4 6 2 2" xfId="911" xr:uid="{00000000-0005-0000-0000-00000E040000}"/>
    <cellStyle name="Normal 2 4 4 6 2 3" xfId="1400" xr:uid="{00000000-0005-0000-0000-00000F040000}"/>
    <cellStyle name="Normal 2 4 4 6 3" xfId="683" xr:uid="{00000000-0005-0000-0000-000010040000}"/>
    <cellStyle name="Normal 2 4 4 6 4" xfId="1172" xr:uid="{00000000-0005-0000-0000-000011040000}"/>
    <cellStyle name="Normal 2 4 4 7" xfId="227" xr:uid="{00000000-0005-0000-0000-000012040000}"/>
    <cellStyle name="Normal 2 4 4 7 2" xfId="455" xr:uid="{00000000-0005-0000-0000-000013040000}"/>
    <cellStyle name="Normal 2 4 4 7 2 2" xfId="944" xr:uid="{00000000-0005-0000-0000-000014040000}"/>
    <cellStyle name="Normal 2 4 4 7 2 3" xfId="1433" xr:uid="{00000000-0005-0000-0000-000015040000}"/>
    <cellStyle name="Normal 2 4 4 7 3" xfId="716" xr:uid="{00000000-0005-0000-0000-000016040000}"/>
    <cellStyle name="Normal 2 4 4 7 4" xfId="1205" xr:uid="{00000000-0005-0000-0000-000017040000}"/>
    <cellStyle name="Normal 2 4 4 8" xfId="260" xr:uid="{00000000-0005-0000-0000-000018040000}"/>
    <cellStyle name="Normal 2 4 4 8 2" xfId="488" xr:uid="{00000000-0005-0000-0000-000019040000}"/>
    <cellStyle name="Normal 2 4 4 8 2 2" xfId="977" xr:uid="{00000000-0005-0000-0000-00001A040000}"/>
    <cellStyle name="Normal 2 4 4 8 2 3" xfId="1466" xr:uid="{00000000-0005-0000-0000-00001B040000}"/>
    <cellStyle name="Normal 2 4 4 8 3" xfId="749" xr:uid="{00000000-0005-0000-0000-00001C040000}"/>
    <cellStyle name="Normal 2 4 4 8 4" xfId="1238" xr:uid="{00000000-0005-0000-0000-00001D040000}"/>
    <cellStyle name="Normal 2 4 4 9" xfId="64" xr:uid="{00000000-0005-0000-0000-00001E040000}"/>
    <cellStyle name="Normal 2 4 4 9 2" xfId="553" xr:uid="{00000000-0005-0000-0000-00001F040000}"/>
    <cellStyle name="Normal 2 4 4 9 3" xfId="1042" xr:uid="{00000000-0005-0000-0000-000020040000}"/>
    <cellStyle name="Normal 2 4 5" xfId="38" xr:uid="{00000000-0005-0000-0000-000021040000}"/>
    <cellStyle name="Normal 2 4 5 10" xfId="1016" xr:uid="{00000000-0005-0000-0000-000022040000}"/>
    <cellStyle name="Normal 2 4 5 2" xfId="118" xr:uid="{00000000-0005-0000-0000-000023040000}"/>
    <cellStyle name="Normal 2 4 5 2 2" xfId="346" xr:uid="{00000000-0005-0000-0000-000024040000}"/>
    <cellStyle name="Normal 2 4 5 2 2 2" xfId="835" xr:uid="{00000000-0005-0000-0000-000025040000}"/>
    <cellStyle name="Normal 2 4 5 2 2 3" xfId="1324" xr:uid="{00000000-0005-0000-0000-000026040000}"/>
    <cellStyle name="Normal 2 4 5 2 3" xfId="607" xr:uid="{00000000-0005-0000-0000-000027040000}"/>
    <cellStyle name="Normal 2 4 5 2 4" xfId="1096" xr:uid="{00000000-0005-0000-0000-000028040000}"/>
    <cellStyle name="Normal 2 4 5 3" xfId="167" xr:uid="{00000000-0005-0000-0000-000029040000}"/>
    <cellStyle name="Normal 2 4 5 3 2" xfId="395" xr:uid="{00000000-0005-0000-0000-00002A040000}"/>
    <cellStyle name="Normal 2 4 5 3 2 2" xfId="884" xr:uid="{00000000-0005-0000-0000-00002B040000}"/>
    <cellStyle name="Normal 2 4 5 3 2 3" xfId="1373" xr:uid="{00000000-0005-0000-0000-00002C040000}"/>
    <cellStyle name="Normal 2 4 5 3 3" xfId="656" xr:uid="{00000000-0005-0000-0000-00002D040000}"/>
    <cellStyle name="Normal 2 4 5 3 4" xfId="1145" xr:uid="{00000000-0005-0000-0000-00002E040000}"/>
    <cellStyle name="Normal 2 4 5 4" xfId="200" xr:uid="{00000000-0005-0000-0000-00002F040000}"/>
    <cellStyle name="Normal 2 4 5 4 2" xfId="428" xr:uid="{00000000-0005-0000-0000-000030040000}"/>
    <cellStyle name="Normal 2 4 5 4 2 2" xfId="917" xr:uid="{00000000-0005-0000-0000-000031040000}"/>
    <cellStyle name="Normal 2 4 5 4 2 3" xfId="1406" xr:uid="{00000000-0005-0000-0000-000032040000}"/>
    <cellStyle name="Normal 2 4 5 4 3" xfId="689" xr:uid="{00000000-0005-0000-0000-000033040000}"/>
    <cellStyle name="Normal 2 4 5 4 4" xfId="1178" xr:uid="{00000000-0005-0000-0000-000034040000}"/>
    <cellStyle name="Normal 2 4 5 5" xfId="233" xr:uid="{00000000-0005-0000-0000-000035040000}"/>
    <cellStyle name="Normal 2 4 5 5 2" xfId="461" xr:uid="{00000000-0005-0000-0000-000036040000}"/>
    <cellStyle name="Normal 2 4 5 5 2 2" xfId="950" xr:uid="{00000000-0005-0000-0000-000037040000}"/>
    <cellStyle name="Normal 2 4 5 5 2 3" xfId="1439" xr:uid="{00000000-0005-0000-0000-000038040000}"/>
    <cellStyle name="Normal 2 4 5 5 3" xfId="722" xr:uid="{00000000-0005-0000-0000-000039040000}"/>
    <cellStyle name="Normal 2 4 5 5 4" xfId="1211" xr:uid="{00000000-0005-0000-0000-00003A040000}"/>
    <cellStyle name="Normal 2 4 5 6" xfId="266" xr:uid="{00000000-0005-0000-0000-00003B040000}"/>
    <cellStyle name="Normal 2 4 5 6 2" xfId="494" xr:uid="{00000000-0005-0000-0000-00003C040000}"/>
    <cellStyle name="Normal 2 4 5 6 2 2" xfId="983" xr:uid="{00000000-0005-0000-0000-00003D040000}"/>
    <cellStyle name="Normal 2 4 5 6 2 3" xfId="1472" xr:uid="{00000000-0005-0000-0000-00003E040000}"/>
    <cellStyle name="Normal 2 4 5 6 3" xfId="755" xr:uid="{00000000-0005-0000-0000-00003F040000}"/>
    <cellStyle name="Normal 2 4 5 6 4" xfId="1244" xr:uid="{00000000-0005-0000-0000-000040040000}"/>
    <cellStyle name="Normal 2 4 5 7" xfId="70" xr:uid="{00000000-0005-0000-0000-000041040000}"/>
    <cellStyle name="Normal 2 4 5 7 2" xfId="559" xr:uid="{00000000-0005-0000-0000-000042040000}"/>
    <cellStyle name="Normal 2 4 5 7 3" xfId="1048" xr:uid="{00000000-0005-0000-0000-000043040000}"/>
    <cellStyle name="Normal 2 4 5 8" xfId="298" xr:uid="{00000000-0005-0000-0000-000044040000}"/>
    <cellStyle name="Normal 2 4 5 8 2" xfId="787" xr:uid="{00000000-0005-0000-0000-000045040000}"/>
    <cellStyle name="Normal 2 4 5 8 3" xfId="1276" xr:uid="{00000000-0005-0000-0000-000046040000}"/>
    <cellStyle name="Normal 2 4 5 9" xfId="527" xr:uid="{00000000-0005-0000-0000-000047040000}"/>
    <cellStyle name="Normal 2 4 6" xfId="86" xr:uid="{00000000-0005-0000-0000-000048040000}"/>
    <cellStyle name="Normal 2 4 6 2" xfId="134" xr:uid="{00000000-0005-0000-0000-000049040000}"/>
    <cellStyle name="Normal 2 4 6 2 2" xfId="362" xr:uid="{00000000-0005-0000-0000-00004A040000}"/>
    <cellStyle name="Normal 2 4 6 2 2 2" xfId="851" xr:uid="{00000000-0005-0000-0000-00004B040000}"/>
    <cellStyle name="Normal 2 4 6 2 2 3" xfId="1340" xr:uid="{00000000-0005-0000-0000-00004C040000}"/>
    <cellStyle name="Normal 2 4 6 2 3" xfId="623" xr:uid="{00000000-0005-0000-0000-00004D040000}"/>
    <cellStyle name="Normal 2 4 6 2 4" xfId="1112" xr:uid="{00000000-0005-0000-0000-00004E040000}"/>
    <cellStyle name="Normal 2 4 6 3" xfId="314" xr:uid="{00000000-0005-0000-0000-00004F040000}"/>
    <cellStyle name="Normal 2 4 6 3 2" xfId="803" xr:uid="{00000000-0005-0000-0000-000050040000}"/>
    <cellStyle name="Normal 2 4 6 3 3" xfId="1292" xr:uid="{00000000-0005-0000-0000-000051040000}"/>
    <cellStyle name="Normal 2 4 6 4" xfId="575" xr:uid="{00000000-0005-0000-0000-000052040000}"/>
    <cellStyle name="Normal 2 4 6 5" xfId="1064" xr:uid="{00000000-0005-0000-0000-000053040000}"/>
    <cellStyle name="Normal 2 4 7" xfId="102" xr:uid="{00000000-0005-0000-0000-000054040000}"/>
    <cellStyle name="Normal 2 4 7 2" xfId="330" xr:uid="{00000000-0005-0000-0000-000055040000}"/>
    <cellStyle name="Normal 2 4 7 2 2" xfId="819" xr:uid="{00000000-0005-0000-0000-000056040000}"/>
    <cellStyle name="Normal 2 4 7 2 3" xfId="1308" xr:uid="{00000000-0005-0000-0000-000057040000}"/>
    <cellStyle name="Normal 2 4 7 3" xfId="591" xr:uid="{00000000-0005-0000-0000-000058040000}"/>
    <cellStyle name="Normal 2 4 7 4" xfId="1080" xr:uid="{00000000-0005-0000-0000-000059040000}"/>
    <cellStyle name="Normal 2 4 8" xfId="151" xr:uid="{00000000-0005-0000-0000-00005A040000}"/>
    <cellStyle name="Normal 2 4 8 2" xfId="379" xr:uid="{00000000-0005-0000-0000-00005B040000}"/>
    <cellStyle name="Normal 2 4 8 2 2" xfId="868" xr:uid="{00000000-0005-0000-0000-00005C040000}"/>
    <cellStyle name="Normal 2 4 8 2 3" xfId="1357" xr:uid="{00000000-0005-0000-0000-00005D040000}"/>
    <cellStyle name="Normal 2 4 8 3" xfId="640" xr:uid="{00000000-0005-0000-0000-00005E040000}"/>
    <cellStyle name="Normal 2 4 8 4" xfId="1129" xr:uid="{00000000-0005-0000-0000-00005F040000}"/>
    <cellStyle name="Normal 2 4 9" xfId="184" xr:uid="{00000000-0005-0000-0000-000060040000}"/>
    <cellStyle name="Normal 2 4 9 2" xfId="412" xr:uid="{00000000-0005-0000-0000-000061040000}"/>
    <cellStyle name="Normal 2 4 9 2 2" xfId="901" xr:uid="{00000000-0005-0000-0000-000062040000}"/>
    <cellStyle name="Normal 2 4 9 2 3" xfId="1390" xr:uid="{00000000-0005-0000-0000-000063040000}"/>
    <cellStyle name="Normal 2 4 9 3" xfId="673" xr:uid="{00000000-0005-0000-0000-000064040000}"/>
    <cellStyle name="Normal 2 4 9 4" xfId="1162" xr:uid="{00000000-0005-0000-0000-000065040000}"/>
    <cellStyle name="Normal 2 5" xfId="33" xr:uid="{00000000-0005-0000-0000-000066040000}"/>
    <cellStyle name="Normal 2 5 10" xfId="293" xr:uid="{00000000-0005-0000-0000-000067040000}"/>
    <cellStyle name="Normal 2 5 10 2" xfId="782" xr:uid="{00000000-0005-0000-0000-000068040000}"/>
    <cellStyle name="Normal 2 5 10 3" xfId="1271" xr:uid="{00000000-0005-0000-0000-000069040000}"/>
    <cellStyle name="Normal 2 5 11" xfId="522" xr:uid="{00000000-0005-0000-0000-00006A040000}"/>
    <cellStyle name="Normal 2 5 12" xfId="1011" xr:uid="{00000000-0005-0000-0000-00006B040000}"/>
    <cellStyle name="Normal 2 5 2" xfId="49" xr:uid="{00000000-0005-0000-0000-00006C040000}"/>
    <cellStyle name="Normal 2 5 2 10" xfId="1027" xr:uid="{00000000-0005-0000-0000-00006D040000}"/>
    <cellStyle name="Normal 2 5 2 2" xfId="129" xr:uid="{00000000-0005-0000-0000-00006E040000}"/>
    <cellStyle name="Normal 2 5 2 2 2" xfId="357" xr:uid="{00000000-0005-0000-0000-00006F040000}"/>
    <cellStyle name="Normal 2 5 2 2 2 2" xfId="846" xr:uid="{00000000-0005-0000-0000-000070040000}"/>
    <cellStyle name="Normal 2 5 2 2 2 3" xfId="1335" xr:uid="{00000000-0005-0000-0000-000071040000}"/>
    <cellStyle name="Normal 2 5 2 2 3" xfId="618" xr:uid="{00000000-0005-0000-0000-000072040000}"/>
    <cellStyle name="Normal 2 5 2 2 4" xfId="1107" xr:uid="{00000000-0005-0000-0000-000073040000}"/>
    <cellStyle name="Normal 2 5 2 3" xfId="178" xr:uid="{00000000-0005-0000-0000-000074040000}"/>
    <cellStyle name="Normal 2 5 2 3 2" xfId="406" xr:uid="{00000000-0005-0000-0000-000075040000}"/>
    <cellStyle name="Normal 2 5 2 3 2 2" xfId="895" xr:uid="{00000000-0005-0000-0000-000076040000}"/>
    <cellStyle name="Normal 2 5 2 3 2 3" xfId="1384" xr:uid="{00000000-0005-0000-0000-000077040000}"/>
    <cellStyle name="Normal 2 5 2 3 3" xfId="667" xr:uid="{00000000-0005-0000-0000-000078040000}"/>
    <cellStyle name="Normal 2 5 2 3 4" xfId="1156" xr:uid="{00000000-0005-0000-0000-000079040000}"/>
    <cellStyle name="Normal 2 5 2 4" xfId="211" xr:uid="{00000000-0005-0000-0000-00007A040000}"/>
    <cellStyle name="Normal 2 5 2 4 2" xfId="439" xr:uid="{00000000-0005-0000-0000-00007B040000}"/>
    <cellStyle name="Normal 2 5 2 4 2 2" xfId="928" xr:uid="{00000000-0005-0000-0000-00007C040000}"/>
    <cellStyle name="Normal 2 5 2 4 2 3" xfId="1417" xr:uid="{00000000-0005-0000-0000-00007D040000}"/>
    <cellStyle name="Normal 2 5 2 4 3" xfId="700" xr:uid="{00000000-0005-0000-0000-00007E040000}"/>
    <cellStyle name="Normal 2 5 2 4 4" xfId="1189" xr:uid="{00000000-0005-0000-0000-00007F040000}"/>
    <cellStyle name="Normal 2 5 2 5" xfId="244" xr:uid="{00000000-0005-0000-0000-000080040000}"/>
    <cellStyle name="Normal 2 5 2 5 2" xfId="472" xr:uid="{00000000-0005-0000-0000-000081040000}"/>
    <cellStyle name="Normal 2 5 2 5 2 2" xfId="961" xr:uid="{00000000-0005-0000-0000-000082040000}"/>
    <cellStyle name="Normal 2 5 2 5 2 3" xfId="1450" xr:uid="{00000000-0005-0000-0000-000083040000}"/>
    <cellStyle name="Normal 2 5 2 5 3" xfId="733" xr:uid="{00000000-0005-0000-0000-000084040000}"/>
    <cellStyle name="Normal 2 5 2 5 4" xfId="1222" xr:uid="{00000000-0005-0000-0000-000085040000}"/>
    <cellStyle name="Normal 2 5 2 6" xfId="277" xr:uid="{00000000-0005-0000-0000-000086040000}"/>
    <cellStyle name="Normal 2 5 2 6 2" xfId="505" xr:uid="{00000000-0005-0000-0000-000087040000}"/>
    <cellStyle name="Normal 2 5 2 6 2 2" xfId="994" xr:uid="{00000000-0005-0000-0000-000088040000}"/>
    <cellStyle name="Normal 2 5 2 6 2 3" xfId="1483" xr:uid="{00000000-0005-0000-0000-000089040000}"/>
    <cellStyle name="Normal 2 5 2 6 3" xfId="766" xr:uid="{00000000-0005-0000-0000-00008A040000}"/>
    <cellStyle name="Normal 2 5 2 6 4" xfId="1255" xr:uid="{00000000-0005-0000-0000-00008B040000}"/>
    <cellStyle name="Normal 2 5 2 7" xfId="81" xr:uid="{00000000-0005-0000-0000-00008C040000}"/>
    <cellStyle name="Normal 2 5 2 7 2" xfId="570" xr:uid="{00000000-0005-0000-0000-00008D040000}"/>
    <cellStyle name="Normal 2 5 2 7 3" xfId="1059" xr:uid="{00000000-0005-0000-0000-00008E040000}"/>
    <cellStyle name="Normal 2 5 2 8" xfId="309" xr:uid="{00000000-0005-0000-0000-00008F040000}"/>
    <cellStyle name="Normal 2 5 2 8 2" xfId="798" xr:uid="{00000000-0005-0000-0000-000090040000}"/>
    <cellStyle name="Normal 2 5 2 8 3" xfId="1287" xr:uid="{00000000-0005-0000-0000-000091040000}"/>
    <cellStyle name="Normal 2 5 2 9" xfId="538" xr:uid="{00000000-0005-0000-0000-000092040000}"/>
    <cellStyle name="Normal 2 5 3" xfId="97" xr:uid="{00000000-0005-0000-0000-000093040000}"/>
    <cellStyle name="Normal 2 5 3 2" xfId="145" xr:uid="{00000000-0005-0000-0000-000094040000}"/>
    <cellStyle name="Normal 2 5 3 2 2" xfId="373" xr:uid="{00000000-0005-0000-0000-000095040000}"/>
    <cellStyle name="Normal 2 5 3 2 2 2" xfId="862" xr:uid="{00000000-0005-0000-0000-000096040000}"/>
    <cellStyle name="Normal 2 5 3 2 2 3" xfId="1351" xr:uid="{00000000-0005-0000-0000-000097040000}"/>
    <cellStyle name="Normal 2 5 3 2 3" xfId="634" xr:uid="{00000000-0005-0000-0000-000098040000}"/>
    <cellStyle name="Normal 2 5 3 2 4" xfId="1123" xr:uid="{00000000-0005-0000-0000-000099040000}"/>
    <cellStyle name="Normal 2 5 3 3" xfId="325" xr:uid="{00000000-0005-0000-0000-00009A040000}"/>
    <cellStyle name="Normal 2 5 3 3 2" xfId="814" xr:uid="{00000000-0005-0000-0000-00009B040000}"/>
    <cellStyle name="Normal 2 5 3 3 3" xfId="1303" xr:uid="{00000000-0005-0000-0000-00009C040000}"/>
    <cellStyle name="Normal 2 5 3 4" xfId="586" xr:uid="{00000000-0005-0000-0000-00009D040000}"/>
    <cellStyle name="Normal 2 5 3 5" xfId="1075" xr:uid="{00000000-0005-0000-0000-00009E040000}"/>
    <cellStyle name="Normal 2 5 4" xfId="113" xr:uid="{00000000-0005-0000-0000-00009F040000}"/>
    <cellStyle name="Normal 2 5 4 2" xfId="341" xr:uid="{00000000-0005-0000-0000-0000A0040000}"/>
    <cellStyle name="Normal 2 5 4 2 2" xfId="830" xr:uid="{00000000-0005-0000-0000-0000A1040000}"/>
    <cellStyle name="Normal 2 5 4 2 3" xfId="1319" xr:uid="{00000000-0005-0000-0000-0000A2040000}"/>
    <cellStyle name="Normal 2 5 4 3" xfId="602" xr:uid="{00000000-0005-0000-0000-0000A3040000}"/>
    <cellStyle name="Normal 2 5 4 4" xfId="1091" xr:uid="{00000000-0005-0000-0000-0000A4040000}"/>
    <cellStyle name="Normal 2 5 5" xfId="162" xr:uid="{00000000-0005-0000-0000-0000A5040000}"/>
    <cellStyle name="Normal 2 5 5 2" xfId="390" xr:uid="{00000000-0005-0000-0000-0000A6040000}"/>
    <cellStyle name="Normal 2 5 5 2 2" xfId="879" xr:uid="{00000000-0005-0000-0000-0000A7040000}"/>
    <cellStyle name="Normal 2 5 5 2 3" xfId="1368" xr:uid="{00000000-0005-0000-0000-0000A8040000}"/>
    <cellStyle name="Normal 2 5 5 3" xfId="651" xr:uid="{00000000-0005-0000-0000-0000A9040000}"/>
    <cellStyle name="Normal 2 5 5 4" xfId="1140" xr:uid="{00000000-0005-0000-0000-0000AA040000}"/>
    <cellStyle name="Normal 2 5 6" xfId="195" xr:uid="{00000000-0005-0000-0000-0000AB040000}"/>
    <cellStyle name="Normal 2 5 6 2" xfId="423" xr:uid="{00000000-0005-0000-0000-0000AC040000}"/>
    <cellStyle name="Normal 2 5 6 2 2" xfId="912" xr:uid="{00000000-0005-0000-0000-0000AD040000}"/>
    <cellStyle name="Normal 2 5 6 2 3" xfId="1401" xr:uid="{00000000-0005-0000-0000-0000AE040000}"/>
    <cellStyle name="Normal 2 5 6 3" xfId="684" xr:uid="{00000000-0005-0000-0000-0000AF040000}"/>
    <cellStyle name="Normal 2 5 6 4" xfId="1173" xr:uid="{00000000-0005-0000-0000-0000B0040000}"/>
    <cellStyle name="Normal 2 5 7" xfId="228" xr:uid="{00000000-0005-0000-0000-0000B1040000}"/>
    <cellStyle name="Normal 2 5 7 2" xfId="456" xr:uid="{00000000-0005-0000-0000-0000B2040000}"/>
    <cellStyle name="Normal 2 5 7 2 2" xfId="945" xr:uid="{00000000-0005-0000-0000-0000B3040000}"/>
    <cellStyle name="Normal 2 5 7 2 3" xfId="1434" xr:uid="{00000000-0005-0000-0000-0000B4040000}"/>
    <cellStyle name="Normal 2 5 7 3" xfId="717" xr:uid="{00000000-0005-0000-0000-0000B5040000}"/>
    <cellStyle name="Normal 2 5 7 4" xfId="1206" xr:uid="{00000000-0005-0000-0000-0000B6040000}"/>
    <cellStyle name="Normal 2 5 8" xfId="261" xr:uid="{00000000-0005-0000-0000-0000B7040000}"/>
    <cellStyle name="Normal 2 5 8 2" xfId="489" xr:uid="{00000000-0005-0000-0000-0000B8040000}"/>
    <cellStyle name="Normal 2 5 8 2 2" xfId="978" xr:uid="{00000000-0005-0000-0000-0000B9040000}"/>
    <cellStyle name="Normal 2 5 8 2 3" xfId="1467" xr:uid="{00000000-0005-0000-0000-0000BA040000}"/>
    <cellStyle name="Normal 2 5 8 3" xfId="750" xr:uid="{00000000-0005-0000-0000-0000BB040000}"/>
    <cellStyle name="Normal 2 5 8 4" xfId="1239" xr:uid="{00000000-0005-0000-0000-0000BC040000}"/>
    <cellStyle name="Normal 2 5 9" xfId="65" xr:uid="{00000000-0005-0000-0000-0000BD040000}"/>
    <cellStyle name="Normal 2 5 9 2" xfId="554" xr:uid="{00000000-0005-0000-0000-0000BE040000}"/>
    <cellStyle name="Normal 2 5 9 3" xfId="1043" xr:uid="{00000000-0005-0000-0000-0000BF040000}"/>
    <cellStyle name="Normal 2 6" xfId="34" xr:uid="{00000000-0005-0000-0000-0000C0040000}"/>
    <cellStyle name="Normal 2 6 10" xfId="294" xr:uid="{00000000-0005-0000-0000-0000C1040000}"/>
    <cellStyle name="Normal 2 6 10 2" xfId="783" xr:uid="{00000000-0005-0000-0000-0000C2040000}"/>
    <cellStyle name="Normal 2 6 10 3" xfId="1272" xr:uid="{00000000-0005-0000-0000-0000C3040000}"/>
    <cellStyle name="Normal 2 6 11" xfId="523" xr:uid="{00000000-0005-0000-0000-0000C4040000}"/>
    <cellStyle name="Normal 2 6 12" xfId="1012" xr:uid="{00000000-0005-0000-0000-0000C5040000}"/>
    <cellStyle name="Normal 2 6 2" xfId="50" xr:uid="{00000000-0005-0000-0000-0000C6040000}"/>
    <cellStyle name="Normal 2 6 2 10" xfId="1028" xr:uid="{00000000-0005-0000-0000-0000C7040000}"/>
    <cellStyle name="Normal 2 6 2 2" xfId="130" xr:uid="{00000000-0005-0000-0000-0000C8040000}"/>
    <cellStyle name="Normal 2 6 2 2 2" xfId="358" xr:uid="{00000000-0005-0000-0000-0000C9040000}"/>
    <cellStyle name="Normal 2 6 2 2 2 2" xfId="847" xr:uid="{00000000-0005-0000-0000-0000CA040000}"/>
    <cellStyle name="Normal 2 6 2 2 2 3" xfId="1336" xr:uid="{00000000-0005-0000-0000-0000CB040000}"/>
    <cellStyle name="Normal 2 6 2 2 3" xfId="619" xr:uid="{00000000-0005-0000-0000-0000CC040000}"/>
    <cellStyle name="Normal 2 6 2 2 4" xfId="1108" xr:uid="{00000000-0005-0000-0000-0000CD040000}"/>
    <cellStyle name="Normal 2 6 2 3" xfId="179" xr:uid="{00000000-0005-0000-0000-0000CE040000}"/>
    <cellStyle name="Normal 2 6 2 3 2" xfId="407" xr:uid="{00000000-0005-0000-0000-0000CF040000}"/>
    <cellStyle name="Normal 2 6 2 3 2 2" xfId="896" xr:uid="{00000000-0005-0000-0000-0000D0040000}"/>
    <cellStyle name="Normal 2 6 2 3 2 3" xfId="1385" xr:uid="{00000000-0005-0000-0000-0000D1040000}"/>
    <cellStyle name="Normal 2 6 2 3 3" xfId="668" xr:uid="{00000000-0005-0000-0000-0000D2040000}"/>
    <cellStyle name="Normal 2 6 2 3 4" xfId="1157" xr:uid="{00000000-0005-0000-0000-0000D3040000}"/>
    <cellStyle name="Normal 2 6 2 4" xfId="212" xr:uid="{00000000-0005-0000-0000-0000D4040000}"/>
    <cellStyle name="Normal 2 6 2 4 2" xfId="440" xr:uid="{00000000-0005-0000-0000-0000D5040000}"/>
    <cellStyle name="Normal 2 6 2 4 2 2" xfId="929" xr:uid="{00000000-0005-0000-0000-0000D6040000}"/>
    <cellStyle name="Normal 2 6 2 4 2 3" xfId="1418" xr:uid="{00000000-0005-0000-0000-0000D7040000}"/>
    <cellStyle name="Normal 2 6 2 4 3" xfId="701" xr:uid="{00000000-0005-0000-0000-0000D8040000}"/>
    <cellStyle name="Normal 2 6 2 4 4" xfId="1190" xr:uid="{00000000-0005-0000-0000-0000D9040000}"/>
    <cellStyle name="Normal 2 6 2 5" xfId="245" xr:uid="{00000000-0005-0000-0000-0000DA040000}"/>
    <cellStyle name="Normal 2 6 2 5 2" xfId="473" xr:uid="{00000000-0005-0000-0000-0000DB040000}"/>
    <cellStyle name="Normal 2 6 2 5 2 2" xfId="962" xr:uid="{00000000-0005-0000-0000-0000DC040000}"/>
    <cellStyle name="Normal 2 6 2 5 2 3" xfId="1451" xr:uid="{00000000-0005-0000-0000-0000DD040000}"/>
    <cellStyle name="Normal 2 6 2 5 3" xfId="734" xr:uid="{00000000-0005-0000-0000-0000DE040000}"/>
    <cellStyle name="Normal 2 6 2 5 4" xfId="1223" xr:uid="{00000000-0005-0000-0000-0000DF040000}"/>
    <cellStyle name="Normal 2 6 2 6" xfId="278" xr:uid="{00000000-0005-0000-0000-0000E0040000}"/>
    <cellStyle name="Normal 2 6 2 6 2" xfId="506" xr:uid="{00000000-0005-0000-0000-0000E1040000}"/>
    <cellStyle name="Normal 2 6 2 6 2 2" xfId="995" xr:uid="{00000000-0005-0000-0000-0000E2040000}"/>
    <cellStyle name="Normal 2 6 2 6 2 3" xfId="1484" xr:uid="{00000000-0005-0000-0000-0000E3040000}"/>
    <cellStyle name="Normal 2 6 2 6 3" xfId="767" xr:uid="{00000000-0005-0000-0000-0000E4040000}"/>
    <cellStyle name="Normal 2 6 2 6 4" xfId="1256" xr:uid="{00000000-0005-0000-0000-0000E5040000}"/>
    <cellStyle name="Normal 2 6 2 7" xfId="82" xr:uid="{00000000-0005-0000-0000-0000E6040000}"/>
    <cellStyle name="Normal 2 6 2 7 2" xfId="571" xr:uid="{00000000-0005-0000-0000-0000E7040000}"/>
    <cellStyle name="Normal 2 6 2 7 3" xfId="1060" xr:uid="{00000000-0005-0000-0000-0000E8040000}"/>
    <cellStyle name="Normal 2 6 2 8" xfId="310" xr:uid="{00000000-0005-0000-0000-0000E9040000}"/>
    <cellStyle name="Normal 2 6 2 8 2" xfId="799" xr:uid="{00000000-0005-0000-0000-0000EA040000}"/>
    <cellStyle name="Normal 2 6 2 8 3" xfId="1288" xr:uid="{00000000-0005-0000-0000-0000EB040000}"/>
    <cellStyle name="Normal 2 6 2 9" xfId="539" xr:uid="{00000000-0005-0000-0000-0000EC040000}"/>
    <cellStyle name="Normal 2 6 3" xfId="98" xr:uid="{00000000-0005-0000-0000-0000ED040000}"/>
    <cellStyle name="Normal 2 6 3 2" xfId="146" xr:uid="{00000000-0005-0000-0000-0000EE040000}"/>
    <cellStyle name="Normal 2 6 3 2 2" xfId="374" xr:uid="{00000000-0005-0000-0000-0000EF040000}"/>
    <cellStyle name="Normal 2 6 3 2 2 2" xfId="863" xr:uid="{00000000-0005-0000-0000-0000F0040000}"/>
    <cellStyle name="Normal 2 6 3 2 2 3" xfId="1352" xr:uid="{00000000-0005-0000-0000-0000F1040000}"/>
    <cellStyle name="Normal 2 6 3 2 3" xfId="635" xr:uid="{00000000-0005-0000-0000-0000F2040000}"/>
    <cellStyle name="Normal 2 6 3 2 4" xfId="1124" xr:uid="{00000000-0005-0000-0000-0000F3040000}"/>
    <cellStyle name="Normal 2 6 3 3" xfId="326" xr:uid="{00000000-0005-0000-0000-0000F4040000}"/>
    <cellStyle name="Normal 2 6 3 3 2" xfId="815" xr:uid="{00000000-0005-0000-0000-0000F5040000}"/>
    <cellStyle name="Normal 2 6 3 3 3" xfId="1304" xr:uid="{00000000-0005-0000-0000-0000F6040000}"/>
    <cellStyle name="Normal 2 6 3 4" xfId="587" xr:uid="{00000000-0005-0000-0000-0000F7040000}"/>
    <cellStyle name="Normal 2 6 3 5" xfId="1076" xr:uid="{00000000-0005-0000-0000-0000F8040000}"/>
    <cellStyle name="Normal 2 6 4" xfId="114" xr:uid="{00000000-0005-0000-0000-0000F9040000}"/>
    <cellStyle name="Normal 2 6 4 2" xfId="342" xr:uid="{00000000-0005-0000-0000-0000FA040000}"/>
    <cellStyle name="Normal 2 6 4 2 2" xfId="831" xr:uid="{00000000-0005-0000-0000-0000FB040000}"/>
    <cellStyle name="Normal 2 6 4 2 3" xfId="1320" xr:uid="{00000000-0005-0000-0000-0000FC040000}"/>
    <cellStyle name="Normal 2 6 4 3" xfId="603" xr:uid="{00000000-0005-0000-0000-0000FD040000}"/>
    <cellStyle name="Normal 2 6 4 4" xfId="1092" xr:uid="{00000000-0005-0000-0000-0000FE040000}"/>
    <cellStyle name="Normal 2 6 5" xfId="163" xr:uid="{00000000-0005-0000-0000-0000FF040000}"/>
    <cellStyle name="Normal 2 6 5 2" xfId="391" xr:uid="{00000000-0005-0000-0000-000000050000}"/>
    <cellStyle name="Normal 2 6 5 2 2" xfId="880" xr:uid="{00000000-0005-0000-0000-000001050000}"/>
    <cellStyle name="Normal 2 6 5 2 3" xfId="1369" xr:uid="{00000000-0005-0000-0000-000002050000}"/>
    <cellStyle name="Normal 2 6 5 3" xfId="652" xr:uid="{00000000-0005-0000-0000-000003050000}"/>
    <cellStyle name="Normal 2 6 5 4" xfId="1141" xr:uid="{00000000-0005-0000-0000-000004050000}"/>
    <cellStyle name="Normal 2 6 6" xfId="196" xr:uid="{00000000-0005-0000-0000-000005050000}"/>
    <cellStyle name="Normal 2 6 6 2" xfId="424" xr:uid="{00000000-0005-0000-0000-000006050000}"/>
    <cellStyle name="Normal 2 6 6 2 2" xfId="913" xr:uid="{00000000-0005-0000-0000-000007050000}"/>
    <cellStyle name="Normal 2 6 6 2 3" xfId="1402" xr:uid="{00000000-0005-0000-0000-000008050000}"/>
    <cellStyle name="Normal 2 6 6 3" xfId="685" xr:uid="{00000000-0005-0000-0000-000009050000}"/>
    <cellStyle name="Normal 2 6 6 4" xfId="1174" xr:uid="{00000000-0005-0000-0000-00000A050000}"/>
    <cellStyle name="Normal 2 6 7" xfId="229" xr:uid="{00000000-0005-0000-0000-00000B050000}"/>
    <cellStyle name="Normal 2 6 7 2" xfId="457" xr:uid="{00000000-0005-0000-0000-00000C050000}"/>
    <cellStyle name="Normal 2 6 7 2 2" xfId="946" xr:uid="{00000000-0005-0000-0000-00000D050000}"/>
    <cellStyle name="Normal 2 6 7 2 3" xfId="1435" xr:uid="{00000000-0005-0000-0000-00000E050000}"/>
    <cellStyle name="Normal 2 6 7 3" xfId="718" xr:uid="{00000000-0005-0000-0000-00000F050000}"/>
    <cellStyle name="Normal 2 6 7 4" xfId="1207" xr:uid="{00000000-0005-0000-0000-000010050000}"/>
    <cellStyle name="Normal 2 6 8" xfId="262" xr:uid="{00000000-0005-0000-0000-000011050000}"/>
    <cellStyle name="Normal 2 6 8 2" xfId="490" xr:uid="{00000000-0005-0000-0000-000012050000}"/>
    <cellStyle name="Normal 2 6 8 2 2" xfId="979" xr:uid="{00000000-0005-0000-0000-000013050000}"/>
    <cellStyle name="Normal 2 6 8 2 3" xfId="1468" xr:uid="{00000000-0005-0000-0000-000014050000}"/>
    <cellStyle name="Normal 2 6 8 3" xfId="751" xr:uid="{00000000-0005-0000-0000-000015050000}"/>
    <cellStyle name="Normal 2 6 8 4" xfId="1240" xr:uid="{00000000-0005-0000-0000-000016050000}"/>
    <cellStyle name="Normal 2 6 9" xfId="66" xr:uid="{00000000-0005-0000-0000-000017050000}"/>
    <cellStyle name="Normal 2 6 9 2" xfId="555" xr:uid="{00000000-0005-0000-0000-000018050000}"/>
    <cellStyle name="Normal 2 6 9 3" xfId="1044" xr:uid="{00000000-0005-0000-0000-000019050000}"/>
    <cellStyle name="Normal 2 7" xfId="35" xr:uid="{00000000-0005-0000-0000-00001A050000}"/>
    <cellStyle name="Normal 2 7 10" xfId="295" xr:uid="{00000000-0005-0000-0000-00001B050000}"/>
    <cellStyle name="Normal 2 7 10 2" xfId="784" xr:uid="{00000000-0005-0000-0000-00001C050000}"/>
    <cellStyle name="Normal 2 7 10 3" xfId="1273" xr:uid="{00000000-0005-0000-0000-00001D050000}"/>
    <cellStyle name="Normal 2 7 11" xfId="524" xr:uid="{00000000-0005-0000-0000-00001E050000}"/>
    <cellStyle name="Normal 2 7 12" xfId="1013" xr:uid="{00000000-0005-0000-0000-00001F050000}"/>
    <cellStyle name="Normal 2 7 2" xfId="51" xr:uid="{00000000-0005-0000-0000-000020050000}"/>
    <cellStyle name="Normal 2 7 2 10" xfId="1029" xr:uid="{00000000-0005-0000-0000-000021050000}"/>
    <cellStyle name="Normal 2 7 2 2" xfId="131" xr:uid="{00000000-0005-0000-0000-000022050000}"/>
    <cellStyle name="Normal 2 7 2 2 2" xfId="359" xr:uid="{00000000-0005-0000-0000-000023050000}"/>
    <cellStyle name="Normal 2 7 2 2 2 2" xfId="848" xr:uid="{00000000-0005-0000-0000-000024050000}"/>
    <cellStyle name="Normal 2 7 2 2 2 3" xfId="1337" xr:uid="{00000000-0005-0000-0000-000025050000}"/>
    <cellStyle name="Normal 2 7 2 2 3" xfId="620" xr:uid="{00000000-0005-0000-0000-000026050000}"/>
    <cellStyle name="Normal 2 7 2 2 4" xfId="1109" xr:uid="{00000000-0005-0000-0000-000027050000}"/>
    <cellStyle name="Normal 2 7 2 3" xfId="180" xr:uid="{00000000-0005-0000-0000-000028050000}"/>
    <cellStyle name="Normal 2 7 2 3 2" xfId="408" xr:uid="{00000000-0005-0000-0000-000029050000}"/>
    <cellStyle name="Normal 2 7 2 3 2 2" xfId="897" xr:uid="{00000000-0005-0000-0000-00002A050000}"/>
    <cellStyle name="Normal 2 7 2 3 2 3" xfId="1386" xr:uid="{00000000-0005-0000-0000-00002B050000}"/>
    <cellStyle name="Normal 2 7 2 3 3" xfId="669" xr:uid="{00000000-0005-0000-0000-00002C050000}"/>
    <cellStyle name="Normal 2 7 2 3 4" xfId="1158" xr:uid="{00000000-0005-0000-0000-00002D050000}"/>
    <cellStyle name="Normal 2 7 2 4" xfId="213" xr:uid="{00000000-0005-0000-0000-00002E050000}"/>
    <cellStyle name="Normal 2 7 2 4 2" xfId="441" xr:uid="{00000000-0005-0000-0000-00002F050000}"/>
    <cellStyle name="Normal 2 7 2 4 2 2" xfId="930" xr:uid="{00000000-0005-0000-0000-000030050000}"/>
    <cellStyle name="Normal 2 7 2 4 2 3" xfId="1419" xr:uid="{00000000-0005-0000-0000-000031050000}"/>
    <cellStyle name="Normal 2 7 2 4 3" xfId="702" xr:uid="{00000000-0005-0000-0000-000032050000}"/>
    <cellStyle name="Normal 2 7 2 4 4" xfId="1191" xr:uid="{00000000-0005-0000-0000-000033050000}"/>
    <cellStyle name="Normal 2 7 2 5" xfId="246" xr:uid="{00000000-0005-0000-0000-000034050000}"/>
    <cellStyle name="Normal 2 7 2 5 2" xfId="474" xr:uid="{00000000-0005-0000-0000-000035050000}"/>
    <cellStyle name="Normal 2 7 2 5 2 2" xfId="963" xr:uid="{00000000-0005-0000-0000-000036050000}"/>
    <cellStyle name="Normal 2 7 2 5 2 3" xfId="1452" xr:uid="{00000000-0005-0000-0000-000037050000}"/>
    <cellStyle name="Normal 2 7 2 5 3" xfId="735" xr:uid="{00000000-0005-0000-0000-000038050000}"/>
    <cellStyle name="Normal 2 7 2 5 4" xfId="1224" xr:uid="{00000000-0005-0000-0000-000039050000}"/>
    <cellStyle name="Normal 2 7 2 6" xfId="279" xr:uid="{00000000-0005-0000-0000-00003A050000}"/>
    <cellStyle name="Normal 2 7 2 6 2" xfId="507" xr:uid="{00000000-0005-0000-0000-00003B050000}"/>
    <cellStyle name="Normal 2 7 2 6 2 2" xfId="996" xr:uid="{00000000-0005-0000-0000-00003C050000}"/>
    <cellStyle name="Normal 2 7 2 6 2 3" xfId="1485" xr:uid="{00000000-0005-0000-0000-00003D050000}"/>
    <cellStyle name="Normal 2 7 2 6 3" xfId="768" xr:uid="{00000000-0005-0000-0000-00003E050000}"/>
    <cellStyle name="Normal 2 7 2 6 4" xfId="1257" xr:uid="{00000000-0005-0000-0000-00003F050000}"/>
    <cellStyle name="Normal 2 7 2 7" xfId="83" xr:uid="{00000000-0005-0000-0000-000040050000}"/>
    <cellStyle name="Normal 2 7 2 7 2" xfId="572" xr:uid="{00000000-0005-0000-0000-000041050000}"/>
    <cellStyle name="Normal 2 7 2 7 3" xfId="1061" xr:uid="{00000000-0005-0000-0000-000042050000}"/>
    <cellStyle name="Normal 2 7 2 8" xfId="311" xr:uid="{00000000-0005-0000-0000-000043050000}"/>
    <cellStyle name="Normal 2 7 2 8 2" xfId="800" xr:uid="{00000000-0005-0000-0000-000044050000}"/>
    <cellStyle name="Normal 2 7 2 8 3" xfId="1289" xr:uid="{00000000-0005-0000-0000-000045050000}"/>
    <cellStyle name="Normal 2 7 2 9" xfId="540" xr:uid="{00000000-0005-0000-0000-000046050000}"/>
    <cellStyle name="Normal 2 7 3" xfId="99" xr:uid="{00000000-0005-0000-0000-000047050000}"/>
    <cellStyle name="Normal 2 7 3 2" xfId="147" xr:uid="{00000000-0005-0000-0000-000048050000}"/>
    <cellStyle name="Normal 2 7 3 2 2" xfId="375" xr:uid="{00000000-0005-0000-0000-000049050000}"/>
    <cellStyle name="Normal 2 7 3 2 2 2" xfId="864" xr:uid="{00000000-0005-0000-0000-00004A050000}"/>
    <cellStyle name="Normal 2 7 3 2 2 3" xfId="1353" xr:uid="{00000000-0005-0000-0000-00004B050000}"/>
    <cellStyle name="Normal 2 7 3 2 3" xfId="636" xr:uid="{00000000-0005-0000-0000-00004C050000}"/>
    <cellStyle name="Normal 2 7 3 2 4" xfId="1125" xr:uid="{00000000-0005-0000-0000-00004D050000}"/>
    <cellStyle name="Normal 2 7 3 3" xfId="327" xr:uid="{00000000-0005-0000-0000-00004E050000}"/>
    <cellStyle name="Normal 2 7 3 3 2" xfId="816" xr:uid="{00000000-0005-0000-0000-00004F050000}"/>
    <cellStyle name="Normal 2 7 3 3 3" xfId="1305" xr:uid="{00000000-0005-0000-0000-000050050000}"/>
    <cellStyle name="Normal 2 7 3 4" xfId="588" xr:uid="{00000000-0005-0000-0000-000051050000}"/>
    <cellStyle name="Normal 2 7 3 5" xfId="1077" xr:uid="{00000000-0005-0000-0000-000052050000}"/>
    <cellStyle name="Normal 2 7 4" xfId="115" xr:uid="{00000000-0005-0000-0000-000053050000}"/>
    <cellStyle name="Normal 2 7 4 2" xfId="343" xr:uid="{00000000-0005-0000-0000-000054050000}"/>
    <cellStyle name="Normal 2 7 4 2 2" xfId="832" xr:uid="{00000000-0005-0000-0000-000055050000}"/>
    <cellStyle name="Normal 2 7 4 2 3" xfId="1321" xr:uid="{00000000-0005-0000-0000-000056050000}"/>
    <cellStyle name="Normal 2 7 4 3" xfId="604" xr:uid="{00000000-0005-0000-0000-000057050000}"/>
    <cellStyle name="Normal 2 7 4 4" xfId="1093" xr:uid="{00000000-0005-0000-0000-000058050000}"/>
    <cellStyle name="Normal 2 7 5" xfId="164" xr:uid="{00000000-0005-0000-0000-000059050000}"/>
    <cellStyle name="Normal 2 7 5 2" xfId="392" xr:uid="{00000000-0005-0000-0000-00005A050000}"/>
    <cellStyle name="Normal 2 7 5 2 2" xfId="881" xr:uid="{00000000-0005-0000-0000-00005B050000}"/>
    <cellStyle name="Normal 2 7 5 2 3" xfId="1370" xr:uid="{00000000-0005-0000-0000-00005C050000}"/>
    <cellStyle name="Normal 2 7 5 3" xfId="653" xr:uid="{00000000-0005-0000-0000-00005D050000}"/>
    <cellStyle name="Normal 2 7 5 4" xfId="1142" xr:uid="{00000000-0005-0000-0000-00005E050000}"/>
    <cellStyle name="Normal 2 7 6" xfId="197" xr:uid="{00000000-0005-0000-0000-00005F050000}"/>
    <cellStyle name="Normal 2 7 6 2" xfId="425" xr:uid="{00000000-0005-0000-0000-000060050000}"/>
    <cellStyle name="Normal 2 7 6 2 2" xfId="914" xr:uid="{00000000-0005-0000-0000-000061050000}"/>
    <cellStyle name="Normal 2 7 6 2 3" xfId="1403" xr:uid="{00000000-0005-0000-0000-000062050000}"/>
    <cellStyle name="Normal 2 7 6 3" xfId="686" xr:uid="{00000000-0005-0000-0000-000063050000}"/>
    <cellStyle name="Normal 2 7 6 4" xfId="1175" xr:uid="{00000000-0005-0000-0000-000064050000}"/>
    <cellStyle name="Normal 2 7 7" xfId="230" xr:uid="{00000000-0005-0000-0000-000065050000}"/>
    <cellStyle name="Normal 2 7 7 2" xfId="458" xr:uid="{00000000-0005-0000-0000-000066050000}"/>
    <cellStyle name="Normal 2 7 7 2 2" xfId="947" xr:uid="{00000000-0005-0000-0000-000067050000}"/>
    <cellStyle name="Normal 2 7 7 2 3" xfId="1436" xr:uid="{00000000-0005-0000-0000-000068050000}"/>
    <cellStyle name="Normal 2 7 7 3" xfId="719" xr:uid="{00000000-0005-0000-0000-000069050000}"/>
    <cellStyle name="Normal 2 7 7 4" xfId="1208" xr:uid="{00000000-0005-0000-0000-00006A050000}"/>
    <cellStyle name="Normal 2 7 8" xfId="263" xr:uid="{00000000-0005-0000-0000-00006B050000}"/>
    <cellStyle name="Normal 2 7 8 2" xfId="491" xr:uid="{00000000-0005-0000-0000-00006C050000}"/>
    <cellStyle name="Normal 2 7 8 2 2" xfId="980" xr:uid="{00000000-0005-0000-0000-00006D050000}"/>
    <cellStyle name="Normal 2 7 8 2 3" xfId="1469" xr:uid="{00000000-0005-0000-0000-00006E050000}"/>
    <cellStyle name="Normal 2 7 8 3" xfId="752" xr:uid="{00000000-0005-0000-0000-00006F050000}"/>
    <cellStyle name="Normal 2 7 8 4" xfId="1241" xr:uid="{00000000-0005-0000-0000-000070050000}"/>
    <cellStyle name="Normal 2 7 9" xfId="67" xr:uid="{00000000-0005-0000-0000-000071050000}"/>
    <cellStyle name="Normal 2 7 9 2" xfId="556" xr:uid="{00000000-0005-0000-0000-000072050000}"/>
    <cellStyle name="Normal 2 7 9 3" xfId="1045" xr:uid="{00000000-0005-0000-0000-000073050000}"/>
    <cellStyle name="Normal 2 8" xfId="36" xr:uid="{00000000-0005-0000-0000-000074050000}"/>
    <cellStyle name="Normal 2 8 10" xfId="1014" xr:uid="{00000000-0005-0000-0000-000075050000}"/>
    <cellStyle name="Normal 2 8 2" xfId="116" xr:uid="{00000000-0005-0000-0000-000076050000}"/>
    <cellStyle name="Normal 2 8 2 2" xfId="344" xr:uid="{00000000-0005-0000-0000-000077050000}"/>
    <cellStyle name="Normal 2 8 2 2 2" xfId="833" xr:uid="{00000000-0005-0000-0000-000078050000}"/>
    <cellStyle name="Normal 2 8 2 2 3" xfId="1322" xr:uid="{00000000-0005-0000-0000-000079050000}"/>
    <cellStyle name="Normal 2 8 2 3" xfId="605" xr:uid="{00000000-0005-0000-0000-00007A050000}"/>
    <cellStyle name="Normal 2 8 2 4" xfId="1094" xr:uid="{00000000-0005-0000-0000-00007B050000}"/>
    <cellStyle name="Normal 2 8 3" xfId="165" xr:uid="{00000000-0005-0000-0000-00007C050000}"/>
    <cellStyle name="Normal 2 8 3 2" xfId="393" xr:uid="{00000000-0005-0000-0000-00007D050000}"/>
    <cellStyle name="Normal 2 8 3 2 2" xfId="882" xr:uid="{00000000-0005-0000-0000-00007E050000}"/>
    <cellStyle name="Normal 2 8 3 2 3" xfId="1371" xr:uid="{00000000-0005-0000-0000-00007F050000}"/>
    <cellStyle name="Normal 2 8 3 3" xfId="654" xr:uid="{00000000-0005-0000-0000-000080050000}"/>
    <cellStyle name="Normal 2 8 3 4" xfId="1143" xr:uid="{00000000-0005-0000-0000-000081050000}"/>
    <cellStyle name="Normal 2 8 4" xfId="198" xr:uid="{00000000-0005-0000-0000-000082050000}"/>
    <cellStyle name="Normal 2 8 4 2" xfId="426" xr:uid="{00000000-0005-0000-0000-000083050000}"/>
    <cellStyle name="Normal 2 8 4 2 2" xfId="915" xr:uid="{00000000-0005-0000-0000-000084050000}"/>
    <cellStyle name="Normal 2 8 4 2 3" xfId="1404" xr:uid="{00000000-0005-0000-0000-000085050000}"/>
    <cellStyle name="Normal 2 8 4 3" xfId="687" xr:uid="{00000000-0005-0000-0000-000086050000}"/>
    <cellStyle name="Normal 2 8 4 4" xfId="1176" xr:uid="{00000000-0005-0000-0000-000087050000}"/>
    <cellStyle name="Normal 2 8 5" xfId="231" xr:uid="{00000000-0005-0000-0000-000088050000}"/>
    <cellStyle name="Normal 2 8 5 2" xfId="459" xr:uid="{00000000-0005-0000-0000-000089050000}"/>
    <cellStyle name="Normal 2 8 5 2 2" xfId="948" xr:uid="{00000000-0005-0000-0000-00008A050000}"/>
    <cellStyle name="Normal 2 8 5 2 3" xfId="1437" xr:uid="{00000000-0005-0000-0000-00008B050000}"/>
    <cellStyle name="Normal 2 8 5 3" xfId="720" xr:uid="{00000000-0005-0000-0000-00008C050000}"/>
    <cellStyle name="Normal 2 8 5 4" xfId="1209" xr:uid="{00000000-0005-0000-0000-00008D050000}"/>
    <cellStyle name="Normal 2 8 6" xfId="264" xr:uid="{00000000-0005-0000-0000-00008E050000}"/>
    <cellStyle name="Normal 2 8 6 2" xfId="492" xr:uid="{00000000-0005-0000-0000-00008F050000}"/>
    <cellStyle name="Normal 2 8 6 2 2" xfId="981" xr:uid="{00000000-0005-0000-0000-000090050000}"/>
    <cellStyle name="Normal 2 8 6 2 3" xfId="1470" xr:uid="{00000000-0005-0000-0000-000091050000}"/>
    <cellStyle name="Normal 2 8 6 3" xfId="753" xr:uid="{00000000-0005-0000-0000-000092050000}"/>
    <cellStyle name="Normal 2 8 6 4" xfId="1242" xr:uid="{00000000-0005-0000-0000-000093050000}"/>
    <cellStyle name="Normal 2 8 7" xfId="68" xr:uid="{00000000-0005-0000-0000-000094050000}"/>
    <cellStyle name="Normal 2 8 7 2" xfId="557" xr:uid="{00000000-0005-0000-0000-000095050000}"/>
    <cellStyle name="Normal 2 8 7 3" xfId="1046" xr:uid="{00000000-0005-0000-0000-000096050000}"/>
    <cellStyle name="Normal 2 8 8" xfId="296" xr:uid="{00000000-0005-0000-0000-000097050000}"/>
    <cellStyle name="Normal 2 8 8 2" xfId="785" xr:uid="{00000000-0005-0000-0000-000098050000}"/>
    <cellStyle name="Normal 2 8 8 3" xfId="1274" xr:uid="{00000000-0005-0000-0000-000099050000}"/>
    <cellStyle name="Normal 2 8 9" xfId="525" xr:uid="{00000000-0005-0000-0000-00009A050000}"/>
    <cellStyle name="Normal 2 9" xfId="12" xr:uid="{00000000-0005-0000-0000-00009B050000}"/>
    <cellStyle name="Normal 2 9 10" xfId="998" xr:uid="{00000000-0005-0000-0000-00009C050000}"/>
    <cellStyle name="Normal 2 9 2" xfId="132" xr:uid="{00000000-0005-0000-0000-00009D050000}"/>
    <cellStyle name="Normal 2 9 2 2" xfId="360" xr:uid="{00000000-0005-0000-0000-00009E050000}"/>
    <cellStyle name="Normal 2 9 2 2 2" xfId="849" xr:uid="{00000000-0005-0000-0000-00009F050000}"/>
    <cellStyle name="Normal 2 9 2 2 3" xfId="1338" xr:uid="{00000000-0005-0000-0000-0000A0050000}"/>
    <cellStyle name="Normal 2 9 2 3" xfId="621" xr:uid="{00000000-0005-0000-0000-0000A1050000}"/>
    <cellStyle name="Normal 2 9 2 4" xfId="1110" xr:uid="{00000000-0005-0000-0000-0000A2050000}"/>
    <cellStyle name="Normal 2 9 3" xfId="149" xr:uid="{00000000-0005-0000-0000-0000A3050000}"/>
    <cellStyle name="Normal 2 9 3 2" xfId="377" xr:uid="{00000000-0005-0000-0000-0000A4050000}"/>
    <cellStyle name="Normal 2 9 3 2 2" xfId="866" xr:uid="{00000000-0005-0000-0000-0000A5050000}"/>
    <cellStyle name="Normal 2 9 3 2 3" xfId="1355" xr:uid="{00000000-0005-0000-0000-0000A6050000}"/>
    <cellStyle name="Normal 2 9 3 3" xfId="638" xr:uid="{00000000-0005-0000-0000-0000A7050000}"/>
    <cellStyle name="Normal 2 9 3 4" xfId="1127" xr:uid="{00000000-0005-0000-0000-0000A8050000}"/>
    <cellStyle name="Normal 2 9 4" xfId="182" xr:uid="{00000000-0005-0000-0000-0000A9050000}"/>
    <cellStyle name="Normal 2 9 4 2" xfId="410" xr:uid="{00000000-0005-0000-0000-0000AA050000}"/>
    <cellStyle name="Normal 2 9 4 2 2" xfId="899" xr:uid="{00000000-0005-0000-0000-0000AB050000}"/>
    <cellStyle name="Normal 2 9 4 2 3" xfId="1388" xr:uid="{00000000-0005-0000-0000-0000AC050000}"/>
    <cellStyle name="Normal 2 9 4 3" xfId="671" xr:uid="{00000000-0005-0000-0000-0000AD050000}"/>
    <cellStyle name="Normal 2 9 4 4" xfId="1160" xr:uid="{00000000-0005-0000-0000-0000AE050000}"/>
    <cellStyle name="Normal 2 9 5" xfId="215" xr:uid="{00000000-0005-0000-0000-0000AF050000}"/>
    <cellStyle name="Normal 2 9 5 2" xfId="443" xr:uid="{00000000-0005-0000-0000-0000B0050000}"/>
    <cellStyle name="Normal 2 9 5 2 2" xfId="932" xr:uid="{00000000-0005-0000-0000-0000B1050000}"/>
    <cellStyle name="Normal 2 9 5 2 3" xfId="1421" xr:uid="{00000000-0005-0000-0000-0000B2050000}"/>
    <cellStyle name="Normal 2 9 5 3" xfId="704" xr:uid="{00000000-0005-0000-0000-0000B3050000}"/>
    <cellStyle name="Normal 2 9 5 4" xfId="1193" xr:uid="{00000000-0005-0000-0000-0000B4050000}"/>
    <cellStyle name="Normal 2 9 6" xfId="248" xr:uid="{00000000-0005-0000-0000-0000B5050000}"/>
    <cellStyle name="Normal 2 9 6 2" xfId="476" xr:uid="{00000000-0005-0000-0000-0000B6050000}"/>
    <cellStyle name="Normal 2 9 6 2 2" xfId="965" xr:uid="{00000000-0005-0000-0000-0000B7050000}"/>
    <cellStyle name="Normal 2 9 6 2 3" xfId="1454" xr:uid="{00000000-0005-0000-0000-0000B8050000}"/>
    <cellStyle name="Normal 2 9 6 3" xfId="737" xr:uid="{00000000-0005-0000-0000-0000B9050000}"/>
    <cellStyle name="Normal 2 9 6 4" xfId="1226" xr:uid="{00000000-0005-0000-0000-0000BA050000}"/>
    <cellStyle name="Normal 2 9 7" xfId="84" xr:uid="{00000000-0005-0000-0000-0000BB050000}"/>
    <cellStyle name="Normal 2 9 7 2" xfId="573" xr:uid="{00000000-0005-0000-0000-0000BC050000}"/>
    <cellStyle name="Normal 2 9 7 3" xfId="1062" xr:uid="{00000000-0005-0000-0000-0000BD050000}"/>
    <cellStyle name="Normal 2 9 8" xfId="312" xr:uid="{00000000-0005-0000-0000-0000BE050000}"/>
    <cellStyle name="Normal 2 9 8 2" xfId="801" xr:uid="{00000000-0005-0000-0000-0000BF050000}"/>
    <cellStyle name="Normal 2 9 8 3" xfId="1290" xr:uid="{00000000-0005-0000-0000-0000C0050000}"/>
    <cellStyle name="Normal 2 9 9" xfId="509" xr:uid="{00000000-0005-0000-0000-0000C1050000}"/>
    <cellStyle name="Normal 3" xfId="6" xr:uid="{00000000-0005-0000-0000-0000C2050000}"/>
    <cellStyle name="Normal 3 2" xfId="19" xr:uid="{00000000-0005-0000-0000-0000C3050000}"/>
    <cellStyle name="Normal 3 3" xfId="14" xr:uid="{00000000-0005-0000-0000-0000C4050000}"/>
    <cellStyle name="Normal 4" xfId="11" xr:uid="{00000000-0005-0000-0000-0000C5050000}"/>
    <cellStyle name="Normal 5" xfId="1486" xr:uid="{E83E5644-041C-4F41-81C0-76B9567D0733}"/>
    <cellStyle name="Normal 6" xfId="1488" xr:uid="{77AC09E9-4374-4FDB-B4A9-E52B082CE3B8}"/>
    <cellStyle name="Percent" xfId="7" builtinId="5"/>
    <cellStyle name="Percent 2" xfId="8" xr:uid="{00000000-0005-0000-0000-0000C7050000}"/>
    <cellStyle name="Percent 2 2" xfId="9" xr:uid="{00000000-0005-0000-0000-0000C8050000}"/>
    <cellStyle name="Percent 2 2 2" xfId="21" xr:uid="{00000000-0005-0000-0000-0000C9050000}"/>
    <cellStyle name="Percent 2 2 3" xfId="16" xr:uid="{00000000-0005-0000-0000-0000CA050000}"/>
    <cellStyle name="Percent 2 3" xfId="20" xr:uid="{00000000-0005-0000-0000-0000CB050000}"/>
    <cellStyle name="Percent 2 4" xfId="15" xr:uid="{00000000-0005-0000-0000-0000CC050000}"/>
    <cellStyle name="Section" xfId="10" xr:uid="{00000000-0005-0000-0000-0000CD050000}"/>
  </cellStyles>
  <dxfs count="60">
    <dxf>
      <numFmt numFmtId="0" formatCode="General"/>
      <fill>
        <patternFill patternType="solid">
          <fgColor indexed="64"/>
          <bgColor theme="2" tint="-9.9978637043366805E-2"/>
        </patternFill>
      </fill>
    </dxf>
    <dxf>
      <font>
        <b/>
        <i val="0"/>
        <strike val="0"/>
        <condense val="0"/>
        <extend val="0"/>
        <outline val="0"/>
        <shadow val="0"/>
        <u val="none"/>
        <vertAlign val="baseline"/>
        <sz val="11"/>
        <color theme="0"/>
        <name val="Calibri"/>
        <family val="2"/>
        <scheme val="minor"/>
      </font>
      <fill>
        <patternFill patternType="solid">
          <fgColor indexed="64"/>
          <bgColor theme="5"/>
        </patternFill>
      </fill>
    </dxf>
    <dxf>
      <fill>
        <patternFill patternType="none">
          <bgColor auto="1"/>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1" tint="0.14996795556505021"/>
        </patternFill>
      </fill>
    </dxf>
    <dxf>
      <fill>
        <patternFill>
          <bgColor rgb="FFFF0000"/>
        </patternFill>
      </fill>
    </dxf>
    <dxf>
      <fill>
        <patternFill patternType="solid">
          <bgColor rgb="FF92D05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ill>
        <patternFill patternType="darkGray">
          <bgColor theme="1" tint="0.14996795556505021"/>
        </patternFill>
      </fill>
    </dxf>
    <dxf>
      <fill>
        <patternFill patternType="solid">
          <bgColor rgb="FFFF0000"/>
        </patternFill>
      </fill>
    </dxf>
    <dxf>
      <fill>
        <patternFill>
          <bgColor rgb="FF92D050"/>
        </patternFill>
      </fill>
    </dxf>
    <dxf>
      <fill>
        <patternFill>
          <bgColor indexed="1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indexed="64"/>
        </bottom>
      </border>
      <protection locked="0" hidden="0"/>
    </dxf>
    <dxf>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indexed="26"/>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protection locked="0" hidden="0"/>
    </dxf>
    <dxf>
      <border outline="0">
        <bottom style="medium">
          <color indexed="64"/>
        </bottom>
      </border>
    </dxf>
    <dxf>
      <font>
        <b/>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dxf>
    <dxf>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indexed="26"/>
        </patternFill>
      </fill>
      <alignment horizontal="center" vertical="bottom" textRotation="0" wrapText="0" indent="0" justifyLastLine="0" shrinkToFit="0" readingOrder="0"/>
      <protection locked="0" hidden="0"/>
    </dxf>
    <dxf>
      <border outline="0">
        <bottom style="medium">
          <color indexed="64"/>
        </bottom>
      </border>
    </dxf>
    <dxf>
      <font>
        <b/>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dxf>
    <dxf>
      <fill>
        <patternFill>
          <bgColor theme="1"/>
        </patternFill>
      </fill>
    </dxf>
    <dxf>
      <font>
        <b/>
        <i val="0"/>
        <color theme="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s>
  <tableStyles count="0" defaultTableStyle="TableStyleMedium9" defaultPivotStyle="PivotStyleLight16"/>
  <colors>
    <mruColors>
      <color rgb="FFFF00FF"/>
      <color rgb="FFFF66CC"/>
      <color rgb="FF0000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17/06/relationships/rdRichValueTypes" Target="richData/rdRichValueTyp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17/06/relationships/rdRichValue" Target="richData/rdrichvalue.xml"/><Relationship Id="rId46" Type="http://schemas.microsoft.com/office/2006/relationships/vbaProject" Target="vbaProject.bin"/><Relationship Id="rId20" Type="http://schemas.openxmlformats.org/officeDocument/2006/relationships/worksheet" Target="worksheets/sheet20.xml"/><Relationship Id="rId41"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Power Swing Stability Boundary</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8459139047347919E-2"/>
          <c:y val="7.0527295324944866E-2"/>
          <c:w val="0.90337184200211684"/>
          <c:h val="0.87889250380982087"/>
        </c:manualLayout>
      </c:layout>
      <c:scatterChart>
        <c:scatterStyle val="smoothMarker"/>
        <c:varyColors val="0"/>
        <c:ser>
          <c:idx val="6"/>
          <c:order val="0"/>
          <c:tx>
            <c:v>Line impedance</c:v>
          </c:tx>
          <c:spPr>
            <a:ln w="19050" cap="rnd">
              <a:solidFill>
                <a:schemeClr val="tx1"/>
              </a:solidFill>
              <a:round/>
            </a:ln>
            <a:effectLst/>
          </c:spPr>
          <c:marker>
            <c:symbol val="none"/>
          </c:marker>
          <c:xVal>
            <c:numRef>
              <c:f>'PRC-026 Evaluation'!$AO$14:$AO$15</c:f>
              <c:numCache>
                <c:formatCode>General</c:formatCode>
                <c:ptCount val="2"/>
                <c:pt idx="0">
                  <c:v>0</c:v>
                </c:pt>
                <c:pt idx="1">
                  <c:v>0</c:v>
                </c:pt>
              </c:numCache>
            </c:numRef>
          </c:xVal>
          <c:yVal>
            <c:numRef>
              <c:f>'PRC-026 Evaluation'!$AP$14:$AP$15</c:f>
              <c:numCache>
                <c:formatCode>General</c:formatCode>
                <c:ptCount val="2"/>
                <c:pt idx="0">
                  <c:v>0</c:v>
                </c:pt>
                <c:pt idx="1">
                  <c:v>0</c:v>
                </c:pt>
              </c:numCache>
            </c:numRef>
          </c:yVal>
          <c:smooth val="1"/>
          <c:extLst>
            <c:ext xmlns:c16="http://schemas.microsoft.com/office/drawing/2014/chart" uri="{C3380CC4-5D6E-409C-BE32-E72D297353CC}">
              <c16:uniqueId val="{00000000-AA23-4107-BE68-7F994EDE8EB7}"/>
            </c:ext>
          </c:extLst>
        </c:ser>
        <c:ser>
          <c:idx val="0"/>
          <c:order val="1"/>
          <c:tx>
            <c:strRef>
              <c:f>'PRC-026 Evaluation'!$AI$1</c:f>
              <c:strCache>
                <c:ptCount val="1"/>
                <c:pt idx="0">
                  <c:v>PRC-026 Stability Boundary</c:v>
                </c:pt>
              </c:strCache>
            </c:strRef>
          </c:tx>
          <c:spPr>
            <a:ln w="19050" cap="rnd">
              <a:solidFill>
                <a:srgbClr val="FF0000"/>
              </a:solidFill>
              <a:round/>
            </a:ln>
            <a:effectLst/>
          </c:spPr>
          <c:marker>
            <c:symbol val="none"/>
          </c:marker>
          <c:xVal>
            <c:numRef>
              <c:f>'PRC-026 Evaluation'!$AJ$3:$AJ$87</c:f>
              <c:numCache>
                <c:formatCode>General</c:formatCode>
                <c:ptCount val="8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xVal>
          <c:yVal>
            <c:numRef>
              <c:f>'PRC-026 Evaluation'!$AK$3:$AK$87</c:f>
              <c:numCache>
                <c:formatCode>General</c:formatCode>
                <c:ptCount val="8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numCache>
            </c:numRef>
          </c:yVal>
          <c:smooth val="1"/>
          <c:extLst>
            <c:ext xmlns:c16="http://schemas.microsoft.com/office/drawing/2014/chart" uri="{C3380CC4-5D6E-409C-BE32-E72D297353CC}">
              <c16:uniqueId val="{00000001-AA23-4107-BE68-7F994EDE8EB7}"/>
            </c:ext>
          </c:extLst>
        </c:ser>
        <c:ser>
          <c:idx val="7"/>
          <c:order val="2"/>
          <c:tx>
            <c:strRef>
              <c:f>'PRC-026 Evaluation'!$AN$17</c:f>
              <c:strCache>
                <c:ptCount val="1"/>
                <c:pt idx="0">
                  <c:v>Total System Impedance</c:v>
                </c:pt>
              </c:strCache>
            </c:strRef>
          </c:tx>
          <c:spPr>
            <a:ln w="19050" cap="rnd">
              <a:solidFill>
                <a:schemeClr val="accent2">
                  <a:lumMod val="60000"/>
                </a:schemeClr>
              </a:solidFill>
              <a:round/>
            </a:ln>
            <a:effectLst/>
          </c:spPr>
          <c:marker>
            <c:symbol val="none"/>
          </c:marker>
          <c:xVal>
            <c:numRef>
              <c:f>'PRC-026 Evaluation'!$AO$19:$AO$20</c:f>
              <c:numCache>
                <c:formatCode>General</c:formatCode>
                <c:ptCount val="2"/>
                <c:pt idx="0">
                  <c:v>0</c:v>
                </c:pt>
                <c:pt idx="1">
                  <c:v>0</c:v>
                </c:pt>
              </c:numCache>
            </c:numRef>
          </c:xVal>
          <c:yVal>
            <c:numRef>
              <c:f>'PRC-026 Evaluation'!$AP$19:$AP$20</c:f>
              <c:numCache>
                <c:formatCode>General</c:formatCode>
                <c:ptCount val="2"/>
                <c:pt idx="0">
                  <c:v>0</c:v>
                </c:pt>
                <c:pt idx="1">
                  <c:v>0</c:v>
                </c:pt>
              </c:numCache>
            </c:numRef>
          </c:yVal>
          <c:smooth val="1"/>
          <c:extLst>
            <c:ext xmlns:c16="http://schemas.microsoft.com/office/drawing/2014/chart" uri="{C3380CC4-5D6E-409C-BE32-E72D297353CC}">
              <c16:uniqueId val="{00000002-AA23-4107-BE68-7F994EDE8EB7}"/>
            </c:ext>
          </c:extLst>
        </c:ser>
        <c:ser>
          <c:idx val="1"/>
          <c:order val="3"/>
          <c:tx>
            <c:v>Zone1</c:v>
          </c:tx>
          <c:spPr>
            <a:ln w="19050" cap="rnd">
              <a:solidFill>
                <a:schemeClr val="accent5"/>
              </a:solidFill>
              <a:round/>
            </a:ln>
            <a:effectLst/>
          </c:spPr>
          <c:marker>
            <c:symbol val="none"/>
          </c:marker>
          <c:xVal>
            <c:numRef>
              <c:f>'PRC-026 Evaluation'!$AP$25:$AP$70</c:f>
              <c:numCache>
                <c:formatCode>General</c:formatCode>
                <c:ptCount val="46"/>
                <c:pt idx="0">
                  <c:v>0.91402007553860665</c:v>
                </c:pt>
                <c:pt idx="1">
                  <c:v>2.2163814080405841</c:v>
                </c:pt>
                <c:pt idx="2">
                  <c:v>3.4791711504811227</c:v>
                </c:pt>
                <c:pt idx="3">
                  <c:v>4.6640200755386072</c:v>
                </c:pt>
                <c:pt idx="4">
                  <c:v>5.7349271481876514</c:v>
                </c:pt>
                <c:pt idx="5">
                  <c:v>6.659353398930941</c:v>
                </c:pt>
                <c:pt idx="6">
                  <c:v>7.4092106039218963</c:v>
                </c:pt>
                <c:pt idx="7">
                  <c:v>7.9617147314329193</c:v>
                </c:pt>
                <c:pt idx="8">
                  <c:v>8.300078223130166</c:v>
                </c:pt>
                <c:pt idx="9">
                  <c:v>8.4140200755386054</c:v>
                </c:pt>
                <c:pt idx="10">
                  <c:v>8.300078223130166</c:v>
                </c:pt>
                <c:pt idx="11">
                  <c:v>7.9617147314329193</c:v>
                </c:pt>
                <c:pt idx="12">
                  <c:v>7.4092106039218963</c:v>
                </c:pt>
                <c:pt idx="13">
                  <c:v>6.659353398930941</c:v>
                </c:pt>
                <c:pt idx="14">
                  <c:v>5.7349271481876514</c:v>
                </c:pt>
                <c:pt idx="15">
                  <c:v>4.6640200755386072</c:v>
                </c:pt>
                <c:pt idx="16">
                  <c:v>3.4791711504811227</c:v>
                </c:pt>
                <c:pt idx="17">
                  <c:v>2.2163814080405841</c:v>
                </c:pt>
                <c:pt idx="18">
                  <c:v>0.91402007553860665</c:v>
                </c:pt>
                <c:pt idx="19">
                  <c:v>-0.38834125696337118</c:v>
                </c:pt>
                <c:pt idx="20">
                  <c:v>-1.6511309994039092</c:v>
                </c:pt>
                <c:pt idx="21">
                  <c:v>-2.8359799244613919</c:v>
                </c:pt>
                <c:pt idx="22">
                  <c:v>-3.9068869971104387</c:v>
                </c:pt>
                <c:pt idx="23">
                  <c:v>-4.8313132478537275</c:v>
                </c:pt>
                <c:pt idx="24">
                  <c:v>-5.5811704528446837</c:v>
                </c:pt>
                <c:pt idx="25">
                  <c:v>-6.1336745803557058</c:v>
                </c:pt>
                <c:pt idx="26">
                  <c:v>-6.4720380720529542</c:v>
                </c:pt>
                <c:pt idx="27">
                  <c:v>-6.5859799244613937</c:v>
                </c:pt>
                <c:pt idx="28">
                  <c:v>-6.4720380720529542</c:v>
                </c:pt>
                <c:pt idx="29">
                  <c:v>-6.1336745803557067</c:v>
                </c:pt>
                <c:pt idx="30">
                  <c:v>-5.5811704528446828</c:v>
                </c:pt>
                <c:pt idx="31">
                  <c:v>-4.8313132478537284</c:v>
                </c:pt>
                <c:pt idx="32">
                  <c:v>-3.9068869971104396</c:v>
                </c:pt>
                <c:pt idx="33">
                  <c:v>-2.8359799244613972</c:v>
                </c:pt>
                <c:pt idx="34">
                  <c:v>-1.6511309994039078</c:v>
                </c:pt>
                <c:pt idx="35">
                  <c:v>-0.38834125696337118</c:v>
                </c:pt>
                <c:pt idx="36">
                  <c:v>0.91402007553860487</c:v>
                </c:pt>
                <c:pt idx="37">
                  <c:v>2.216381408040581</c:v>
                </c:pt>
                <c:pt idx="38">
                  <c:v>3.4791711504811236</c:v>
                </c:pt>
                <c:pt idx="39">
                  <c:v>4.6640200755386072</c:v>
                </c:pt>
                <c:pt idx="40">
                  <c:v>5.7349271481876505</c:v>
                </c:pt>
                <c:pt idx="41">
                  <c:v>6.6593533989309401</c:v>
                </c:pt>
                <c:pt idx="42">
                  <c:v>7.4092106039218946</c:v>
                </c:pt>
                <c:pt idx="43">
                  <c:v>7.9617147314329193</c:v>
                </c:pt>
                <c:pt idx="44">
                  <c:v>8.300078223130166</c:v>
                </c:pt>
                <c:pt idx="45">
                  <c:v>8.4140200755386054</c:v>
                </c:pt>
              </c:numCache>
            </c:numRef>
          </c:xVal>
          <c:yVal>
            <c:numRef>
              <c:f>'PRC-026 Evaluation'!$AQ$25:$AQ$70</c:f>
              <c:numCache>
                <c:formatCode>General</c:formatCode>
                <c:ptCount val="46"/>
                <c:pt idx="0">
                  <c:v>-5.5903862690085404E-2</c:v>
                </c:pt>
                <c:pt idx="1">
                  <c:v>5.8037989718354055E-2</c:v>
                </c:pt>
                <c:pt idx="2">
                  <c:v>0.3964014814156025</c:v>
                </c:pt>
                <c:pt idx="3">
                  <c:v>0.94890560892662545</c:v>
                </c:pt>
                <c:pt idx="4">
                  <c:v>1.6987628139175799</c:v>
                </c:pt>
                <c:pt idx="5">
                  <c:v>2.6231890646608704</c:v>
                </c:pt>
                <c:pt idx="6">
                  <c:v>3.694096137309915</c:v>
                </c:pt>
                <c:pt idx="7">
                  <c:v>4.8789450623673991</c:v>
                </c:pt>
                <c:pt idx="8">
                  <c:v>6.1417348048079372</c:v>
                </c:pt>
                <c:pt idx="9">
                  <c:v>7.4440961373099146</c:v>
                </c:pt>
                <c:pt idx="10">
                  <c:v>8.746457469811892</c:v>
                </c:pt>
                <c:pt idx="11">
                  <c:v>10.009247212252429</c:v>
                </c:pt>
                <c:pt idx="12">
                  <c:v>11.194096137309915</c:v>
                </c:pt>
                <c:pt idx="13">
                  <c:v>12.265003209958959</c:v>
                </c:pt>
                <c:pt idx="14">
                  <c:v>13.18942946070225</c:v>
                </c:pt>
                <c:pt idx="15">
                  <c:v>13.939286665693203</c:v>
                </c:pt>
                <c:pt idx="16">
                  <c:v>14.491790793204228</c:v>
                </c:pt>
                <c:pt idx="17">
                  <c:v>14.830154284901475</c:v>
                </c:pt>
                <c:pt idx="18">
                  <c:v>14.944096137309915</c:v>
                </c:pt>
                <c:pt idx="19">
                  <c:v>14.830154284901475</c:v>
                </c:pt>
                <c:pt idx="20">
                  <c:v>14.491790793204228</c:v>
                </c:pt>
                <c:pt idx="21">
                  <c:v>13.939286665693205</c:v>
                </c:pt>
                <c:pt idx="22">
                  <c:v>13.18942946070225</c:v>
                </c:pt>
                <c:pt idx="23">
                  <c:v>12.265003209958961</c:v>
                </c:pt>
                <c:pt idx="24">
                  <c:v>11.194096137309915</c:v>
                </c:pt>
                <c:pt idx="25">
                  <c:v>10.009247212252431</c:v>
                </c:pt>
                <c:pt idx="26">
                  <c:v>8.746457469811892</c:v>
                </c:pt>
                <c:pt idx="27">
                  <c:v>7.4440961373099155</c:v>
                </c:pt>
                <c:pt idx="28">
                  <c:v>6.1417348048079363</c:v>
                </c:pt>
                <c:pt idx="29">
                  <c:v>4.8789450623674</c:v>
                </c:pt>
                <c:pt idx="30">
                  <c:v>3.6940961373099137</c:v>
                </c:pt>
                <c:pt idx="31">
                  <c:v>2.6231890646608704</c:v>
                </c:pt>
                <c:pt idx="32">
                  <c:v>1.6987628139175808</c:v>
                </c:pt>
                <c:pt idx="33">
                  <c:v>0.94890560892662634</c:v>
                </c:pt>
                <c:pt idx="34">
                  <c:v>0.39640148141560161</c:v>
                </c:pt>
                <c:pt idx="35">
                  <c:v>5.8037989718354055E-2</c:v>
                </c:pt>
                <c:pt idx="36">
                  <c:v>-5.5903862690085404E-2</c:v>
                </c:pt>
                <c:pt idx="37">
                  <c:v>5.8037989718354055E-2</c:v>
                </c:pt>
                <c:pt idx="38">
                  <c:v>0.3964014814156025</c:v>
                </c:pt>
                <c:pt idx="39">
                  <c:v>0.94890560892662545</c:v>
                </c:pt>
                <c:pt idx="40">
                  <c:v>1.698762813917579</c:v>
                </c:pt>
                <c:pt idx="41">
                  <c:v>2.6231890646608678</c:v>
                </c:pt>
                <c:pt idx="42">
                  <c:v>3.694096137309911</c:v>
                </c:pt>
                <c:pt idx="43">
                  <c:v>4.8789450623674</c:v>
                </c:pt>
                <c:pt idx="44">
                  <c:v>6.1417348048079372</c:v>
                </c:pt>
                <c:pt idx="45">
                  <c:v>7.4440961373099128</c:v>
                </c:pt>
              </c:numCache>
            </c:numRef>
          </c:yVal>
          <c:smooth val="1"/>
          <c:extLst>
            <c:ext xmlns:c16="http://schemas.microsoft.com/office/drawing/2014/chart" uri="{C3380CC4-5D6E-409C-BE32-E72D297353CC}">
              <c16:uniqueId val="{00000003-AA23-4107-BE68-7F994EDE8EB7}"/>
            </c:ext>
          </c:extLst>
        </c:ser>
        <c:ser>
          <c:idx val="2"/>
          <c:order val="4"/>
          <c:tx>
            <c:v>Zone2</c:v>
          </c:tx>
          <c:spPr>
            <a:ln w="19050" cap="rnd">
              <a:solidFill>
                <a:srgbClr val="7030A0"/>
              </a:solidFill>
              <a:round/>
            </a:ln>
            <a:effectLst/>
          </c:spPr>
          <c:marker>
            <c:symbol val="none"/>
          </c:marker>
          <c:xVal>
            <c:numRef>
              <c:f>'PRC-026 Evaluation'!$AR$25:$AR$70</c:f>
              <c:numCache>
                <c:formatCode>General</c:formatCode>
                <c:ptCount val="46"/>
                <c:pt idx="0">
                  <c:v>1.2796281057540493</c:v>
                </c:pt>
                <c:pt idx="1">
                  <c:v>3.1029339712568182</c:v>
                </c:pt>
                <c:pt idx="2">
                  <c:v>4.8708396106735714</c:v>
                </c:pt>
                <c:pt idx="3">
                  <c:v>6.5296281057540497</c:v>
                </c:pt>
                <c:pt idx="4">
                  <c:v>8.0288980074627112</c:v>
                </c:pt>
                <c:pt idx="5">
                  <c:v>9.3230947585033164</c:v>
                </c:pt>
                <c:pt idx="6">
                  <c:v>10.372894845490654</c:v>
                </c:pt>
                <c:pt idx="7">
                  <c:v>11.146400624006086</c:v>
                </c:pt>
                <c:pt idx="8">
                  <c:v>11.620109512382232</c:v>
                </c:pt>
                <c:pt idx="9">
                  <c:v>11.779628105754048</c:v>
                </c:pt>
                <c:pt idx="10">
                  <c:v>11.620109512382232</c:v>
                </c:pt>
                <c:pt idx="11">
                  <c:v>11.146400624006086</c:v>
                </c:pt>
                <c:pt idx="12">
                  <c:v>10.372894845490654</c:v>
                </c:pt>
                <c:pt idx="13">
                  <c:v>9.3230947585033164</c:v>
                </c:pt>
                <c:pt idx="14">
                  <c:v>8.0288980074627112</c:v>
                </c:pt>
                <c:pt idx="15">
                  <c:v>6.5296281057540497</c:v>
                </c:pt>
                <c:pt idx="16">
                  <c:v>4.8708396106735714</c:v>
                </c:pt>
                <c:pt idx="17">
                  <c:v>3.1029339712568182</c:v>
                </c:pt>
                <c:pt idx="18">
                  <c:v>1.2796281057540493</c:v>
                </c:pt>
                <c:pt idx="19">
                  <c:v>-0.54367775974871946</c:v>
                </c:pt>
                <c:pt idx="20">
                  <c:v>-2.3115833991654728</c:v>
                </c:pt>
                <c:pt idx="21">
                  <c:v>-3.9703718942459485</c:v>
                </c:pt>
                <c:pt idx="22">
                  <c:v>-5.4696417959546144</c:v>
                </c:pt>
                <c:pt idx="23">
                  <c:v>-6.7638385469952196</c:v>
                </c:pt>
                <c:pt idx="24">
                  <c:v>-7.8136386339825572</c:v>
                </c:pt>
                <c:pt idx="25">
                  <c:v>-8.5871444124979899</c:v>
                </c:pt>
                <c:pt idx="26">
                  <c:v>-9.0608533008741361</c:v>
                </c:pt>
                <c:pt idx="27">
                  <c:v>-9.220371894245952</c:v>
                </c:pt>
                <c:pt idx="28">
                  <c:v>-9.0608533008741361</c:v>
                </c:pt>
                <c:pt idx="29">
                  <c:v>-8.5871444124979899</c:v>
                </c:pt>
                <c:pt idx="30">
                  <c:v>-7.8136386339825572</c:v>
                </c:pt>
                <c:pt idx="31">
                  <c:v>-6.7638385469952196</c:v>
                </c:pt>
                <c:pt idx="32">
                  <c:v>-5.4696417959546153</c:v>
                </c:pt>
                <c:pt idx="33">
                  <c:v>-3.9703718942459556</c:v>
                </c:pt>
                <c:pt idx="34">
                  <c:v>-2.3115833991654711</c:v>
                </c:pt>
                <c:pt idx="35">
                  <c:v>-0.5436777597487199</c:v>
                </c:pt>
                <c:pt idx="36">
                  <c:v>1.2796281057540466</c:v>
                </c:pt>
                <c:pt idx="37">
                  <c:v>3.1029339712568134</c:v>
                </c:pt>
                <c:pt idx="38">
                  <c:v>4.8708396106735732</c:v>
                </c:pt>
                <c:pt idx="39">
                  <c:v>6.5296281057540497</c:v>
                </c:pt>
                <c:pt idx="40">
                  <c:v>8.0288980074627112</c:v>
                </c:pt>
                <c:pt idx="41">
                  <c:v>9.3230947585033146</c:v>
                </c:pt>
                <c:pt idx="42">
                  <c:v>10.37289484549065</c:v>
                </c:pt>
                <c:pt idx="43">
                  <c:v>11.146400624006086</c:v>
                </c:pt>
                <c:pt idx="44">
                  <c:v>11.620109512382232</c:v>
                </c:pt>
                <c:pt idx="45">
                  <c:v>11.779628105754048</c:v>
                </c:pt>
              </c:numCache>
            </c:numRef>
          </c:xVal>
          <c:yVal>
            <c:numRef>
              <c:f>'PRC-026 Evaluation'!$AS$25:$AS$70</c:f>
              <c:numCache>
                <c:formatCode>General</c:formatCode>
                <c:ptCount val="46"/>
                <c:pt idx="0">
                  <c:v>-7.8265407766119566E-2</c:v>
                </c:pt>
                <c:pt idx="1">
                  <c:v>8.1253185605696387E-2</c:v>
                </c:pt>
                <c:pt idx="2">
                  <c:v>0.55496207398184261</c:v>
                </c:pt>
                <c:pt idx="3">
                  <c:v>1.3284678524972744</c:v>
                </c:pt>
                <c:pt idx="4">
                  <c:v>2.378267939484612</c:v>
                </c:pt>
                <c:pt idx="5">
                  <c:v>3.6724646905252181</c:v>
                </c:pt>
                <c:pt idx="6">
                  <c:v>5.1717345922338813</c:v>
                </c:pt>
                <c:pt idx="7">
                  <c:v>6.8305230873143588</c:v>
                </c:pt>
                <c:pt idx="8">
                  <c:v>8.598428726731111</c:v>
                </c:pt>
                <c:pt idx="9">
                  <c:v>10.42173459223388</c:v>
                </c:pt>
                <c:pt idx="10">
                  <c:v>12.24504045773665</c:v>
                </c:pt>
                <c:pt idx="11">
                  <c:v>14.012946097153403</c:v>
                </c:pt>
                <c:pt idx="12">
                  <c:v>15.671734592233879</c:v>
                </c:pt>
                <c:pt idx="13">
                  <c:v>17.171004493942544</c:v>
                </c:pt>
                <c:pt idx="14">
                  <c:v>18.465201244983149</c:v>
                </c:pt>
                <c:pt idx="15">
                  <c:v>19.515001331970488</c:v>
                </c:pt>
                <c:pt idx="16">
                  <c:v>20.288507110485916</c:v>
                </c:pt>
                <c:pt idx="17">
                  <c:v>20.762215998862064</c:v>
                </c:pt>
                <c:pt idx="18">
                  <c:v>20.921734592233882</c:v>
                </c:pt>
                <c:pt idx="19">
                  <c:v>20.762215998862064</c:v>
                </c:pt>
                <c:pt idx="20">
                  <c:v>20.288507110485916</c:v>
                </c:pt>
                <c:pt idx="21">
                  <c:v>19.515001331970488</c:v>
                </c:pt>
                <c:pt idx="22">
                  <c:v>18.465201244983149</c:v>
                </c:pt>
                <c:pt idx="23">
                  <c:v>17.171004493942544</c:v>
                </c:pt>
                <c:pt idx="24">
                  <c:v>15.671734592233879</c:v>
                </c:pt>
                <c:pt idx="25">
                  <c:v>14.012946097153403</c:v>
                </c:pt>
                <c:pt idx="26">
                  <c:v>12.245040457736648</c:v>
                </c:pt>
                <c:pt idx="27">
                  <c:v>10.421734592233882</c:v>
                </c:pt>
                <c:pt idx="28">
                  <c:v>8.598428726731111</c:v>
                </c:pt>
                <c:pt idx="29">
                  <c:v>6.8305230873143596</c:v>
                </c:pt>
                <c:pt idx="30">
                  <c:v>5.1717345922338795</c:v>
                </c:pt>
                <c:pt idx="31">
                  <c:v>3.6724646905252181</c:v>
                </c:pt>
                <c:pt idx="32">
                  <c:v>2.378267939484612</c:v>
                </c:pt>
                <c:pt idx="33">
                  <c:v>1.3284678524972779</c:v>
                </c:pt>
                <c:pt idx="34">
                  <c:v>0.55496207398184261</c:v>
                </c:pt>
                <c:pt idx="35">
                  <c:v>8.1253185605696387E-2</c:v>
                </c:pt>
                <c:pt idx="36">
                  <c:v>-7.8265407766119566E-2</c:v>
                </c:pt>
                <c:pt idx="37">
                  <c:v>8.1253185605694611E-2</c:v>
                </c:pt>
                <c:pt idx="38">
                  <c:v>0.55496207398184261</c:v>
                </c:pt>
                <c:pt idx="39">
                  <c:v>1.3284678524972744</c:v>
                </c:pt>
                <c:pt idx="40">
                  <c:v>2.3782679394846102</c:v>
                </c:pt>
                <c:pt idx="41">
                  <c:v>3.6724646905252145</c:v>
                </c:pt>
                <c:pt idx="42">
                  <c:v>5.171734592233876</c:v>
                </c:pt>
                <c:pt idx="43">
                  <c:v>6.8305230873143596</c:v>
                </c:pt>
                <c:pt idx="44">
                  <c:v>8.598428726731111</c:v>
                </c:pt>
                <c:pt idx="45">
                  <c:v>10.421734592233879</c:v>
                </c:pt>
              </c:numCache>
            </c:numRef>
          </c:yVal>
          <c:smooth val="1"/>
          <c:extLst>
            <c:ext xmlns:c16="http://schemas.microsoft.com/office/drawing/2014/chart" uri="{C3380CC4-5D6E-409C-BE32-E72D297353CC}">
              <c16:uniqueId val="{00000004-AA23-4107-BE68-7F994EDE8EB7}"/>
            </c:ext>
          </c:extLst>
        </c:ser>
        <c:ser>
          <c:idx val="3"/>
          <c:order val="5"/>
          <c:tx>
            <c:v>Zone3</c:v>
          </c:tx>
          <c:spPr>
            <a:ln w="19050" cap="rnd">
              <a:solidFill>
                <a:srgbClr val="00B050"/>
              </a:solidFill>
              <a:round/>
            </a:ln>
            <a:effectLst/>
          </c:spPr>
          <c:marker>
            <c:symbol val="none"/>
          </c:marker>
          <c:xVal>
            <c:numRef>
              <c:f>'PRC-026 Evaluation'!$AT$25:$AT$70</c:f>
              <c:numCache>
                <c:formatCode>General</c:formatCode>
                <c:ptCount val="46"/>
                <c:pt idx="0">
                  <c:v>-1.4014974491591914</c:v>
                </c:pt>
                <c:pt idx="1">
                  <c:v>-3.7457478476627513</c:v>
                </c:pt>
                <c:pt idx="2">
                  <c:v>-6.0187693840557204</c:v>
                </c:pt>
                <c:pt idx="3">
                  <c:v>-8.1514974491591889</c:v>
                </c:pt>
                <c:pt idx="4">
                  <c:v>-10.079130179927471</c:v>
                </c:pt>
                <c:pt idx="5">
                  <c:v>-11.743097431265394</c:v>
                </c:pt>
                <c:pt idx="6">
                  <c:v>-13.092840400249113</c:v>
                </c:pt>
                <c:pt idx="7">
                  <c:v>-14.087347829768955</c:v>
                </c:pt>
                <c:pt idx="8">
                  <c:v>-14.696402114824</c:v>
                </c:pt>
                <c:pt idx="9">
                  <c:v>-14.901497449159191</c:v>
                </c:pt>
                <c:pt idx="10">
                  <c:v>-14.696402114824</c:v>
                </c:pt>
                <c:pt idx="11">
                  <c:v>-14.087347829768955</c:v>
                </c:pt>
                <c:pt idx="12">
                  <c:v>-13.092840400249113</c:v>
                </c:pt>
                <c:pt idx="13">
                  <c:v>-11.743097431265394</c:v>
                </c:pt>
                <c:pt idx="14">
                  <c:v>-10.079130179927475</c:v>
                </c:pt>
                <c:pt idx="15">
                  <c:v>-8.1514974491591978</c:v>
                </c:pt>
                <c:pt idx="16">
                  <c:v>-6.0187693840557177</c:v>
                </c:pt>
                <c:pt idx="17">
                  <c:v>-3.7457478476627517</c:v>
                </c:pt>
                <c:pt idx="18">
                  <c:v>-1.4014974491591947</c:v>
                </c:pt>
                <c:pt idx="19">
                  <c:v>0.94275294934436249</c:v>
                </c:pt>
                <c:pt idx="20">
                  <c:v>3.2157744857373394</c:v>
                </c:pt>
                <c:pt idx="21">
                  <c:v>5.3485025508408093</c:v>
                </c:pt>
                <c:pt idx="22">
                  <c:v>7.2761352816090881</c:v>
                </c:pt>
                <c:pt idx="23">
                  <c:v>8.9401025329470087</c:v>
                </c:pt>
                <c:pt idx="24">
                  <c:v>10.289845501930728</c:v>
                </c:pt>
                <c:pt idx="25">
                  <c:v>11.284352931450574</c:v>
                </c:pt>
                <c:pt idx="26">
                  <c:v>11.893407216505615</c:v>
                </c:pt>
                <c:pt idx="27">
                  <c:v>12.098502550840809</c:v>
                </c:pt>
                <c:pt idx="28">
                  <c:v>11.893407216505619</c:v>
                </c:pt>
                <c:pt idx="29">
                  <c:v>11.28435293145057</c:v>
                </c:pt>
                <c:pt idx="30">
                  <c:v>10.289845501930728</c:v>
                </c:pt>
                <c:pt idx="31">
                  <c:v>8.9401025329470123</c:v>
                </c:pt>
                <c:pt idx="32">
                  <c:v>7.2761352816090916</c:v>
                </c:pt>
                <c:pt idx="33">
                  <c:v>5.3485025508408039</c:v>
                </c:pt>
                <c:pt idx="34">
                  <c:v>3.2157744857373349</c:v>
                </c:pt>
                <c:pt idx="35">
                  <c:v>0.94275294934436871</c:v>
                </c:pt>
                <c:pt idx="36">
                  <c:v>-1.4014974491591881</c:v>
                </c:pt>
                <c:pt idx="37">
                  <c:v>-3.745747847662745</c:v>
                </c:pt>
                <c:pt idx="38">
                  <c:v>-6.0187693840557115</c:v>
                </c:pt>
                <c:pt idx="39">
                  <c:v>-8.1514974491591801</c:v>
                </c:pt>
                <c:pt idx="40">
                  <c:v>-10.079130179927478</c:v>
                </c:pt>
                <c:pt idx="41">
                  <c:v>-11.743097431265401</c:v>
                </c:pt>
                <c:pt idx="42">
                  <c:v>-13.092840400249116</c:v>
                </c:pt>
                <c:pt idx="43">
                  <c:v>-14.087347829768955</c:v>
                </c:pt>
                <c:pt idx="44">
                  <c:v>-14.696402114824</c:v>
                </c:pt>
                <c:pt idx="45">
                  <c:v>-14.901497449159191</c:v>
                </c:pt>
              </c:numCache>
            </c:numRef>
          </c:xVal>
          <c:yVal>
            <c:numRef>
              <c:f>'PRC-026 Evaluation'!$AU$25:$AU$70</c:f>
              <c:numCache>
                <c:formatCode>General</c:formatCode>
                <c:ptCount val="46"/>
                <c:pt idx="0">
                  <c:v>2.0857192561247966</c:v>
                </c:pt>
                <c:pt idx="1">
                  <c:v>1.8806239217896041</c:v>
                </c:pt>
                <c:pt idx="2">
                  <c:v>1.271569636734561</c:v>
                </c:pt>
                <c:pt idx="3">
                  <c:v>0.27706220721471853</c:v>
                </c:pt>
                <c:pt idx="4">
                  <c:v>-1.0726807617690004</c:v>
                </c:pt>
                <c:pt idx="5">
                  <c:v>-2.7366480131069211</c:v>
                </c:pt>
                <c:pt idx="6">
                  <c:v>-4.6642807438752047</c:v>
                </c:pt>
                <c:pt idx="7">
                  <c:v>-6.7970088089786742</c:v>
                </c:pt>
                <c:pt idx="8">
                  <c:v>-9.0700303453716433</c:v>
                </c:pt>
                <c:pt idx="9">
                  <c:v>-11.414280743875201</c:v>
                </c:pt>
                <c:pt idx="10">
                  <c:v>-13.758531142378764</c:v>
                </c:pt>
                <c:pt idx="11">
                  <c:v>-16.031552678771732</c:v>
                </c:pt>
                <c:pt idx="12">
                  <c:v>-18.164280743875207</c:v>
                </c:pt>
                <c:pt idx="13">
                  <c:v>-20.091913474643484</c:v>
                </c:pt>
                <c:pt idx="14">
                  <c:v>-21.755880725981406</c:v>
                </c:pt>
                <c:pt idx="15">
                  <c:v>-23.105623694965125</c:v>
                </c:pt>
                <c:pt idx="16">
                  <c:v>-24.100131124484967</c:v>
                </c:pt>
                <c:pt idx="17">
                  <c:v>-24.709185409540012</c:v>
                </c:pt>
                <c:pt idx="18">
                  <c:v>-24.914280743875203</c:v>
                </c:pt>
                <c:pt idx="19">
                  <c:v>-24.709185409540012</c:v>
                </c:pt>
                <c:pt idx="20">
                  <c:v>-24.100131124484967</c:v>
                </c:pt>
                <c:pt idx="21">
                  <c:v>-23.105623694965125</c:v>
                </c:pt>
                <c:pt idx="22">
                  <c:v>-21.75588072598141</c:v>
                </c:pt>
                <c:pt idx="23">
                  <c:v>-20.091913474643491</c:v>
                </c:pt>
                <c:pt idx="24">
                  <c:v>-18.16428074387521</c:v>
                </c:pt>
                <c:pt idx="25">
                  <c:v>-16.031552678771732</c:v>
                </c:pt>
                <c:pt idx="26">
                  <c:v>-13.758531142378763</c:v>
                </c:pt>
                <c:pt idx="27">
                  <c:v>-11.414280743875207</c:v>
                </c:pt>
                <c:pt idx="28">
                  <c:v>-9.0700303453716487</c:v>
                </c:pt>
                <c:pt idx="29">
                  <c:v>-6.7970088089786733</c:v>
                </c:pt>
                <c:pt idx="30">
                  <c:v>-4.6642807438752039</c:v>
                </c:pt>
                <c:pt idx="31">
                  <c:v>-2.7366480131069246</c:v>
                </c:pt>
                <c:pt idx="32">
                  <c:v>-1.072680761769004</c:v>
                </c:pt>
                <c:pt idx="33">
                  <c:v>0.2770622072147203</c:v>
                </c:pt>
                <c:pt idx="34">
                  <c:v>1.271569636734561</c:v>
                </c:pt>
                <c:pt idx="35">
                  <c:v>1.8806239217896041</c:v>
                </c:pt>
                <c:pt idx="36">
                  <c:v>2.0857192561247966</c:v>
                </c:pt>
                <c:pt idx="37">
                  <c:v>1.8806239217896059</c:v>
                </c:pt>
                <c:pt idx="38">
                  <c:v>1.2715696367345628</c:v>
                </c:pt>
                <c:pt idx="39">
                  <c:v>0.27706220721472563</c:v>
                </c:pt>
                <c:pt idx="40">
                  <c:v>-1.0726807617690057</c:v>
                </c:pt>
                <c:pt idx="41">
                  <c:v>-2.7366480131069264</c:v>
                </c:pt>
                <c:pt idx="42">
                  <c:v>-4.6642807438752065</c:v>
                </c:pt>
                <c:pt idx="43">
                  <c:v>-6.797008808978676</c:v>
                </c:pt>
                <c:pt idx="44">
                  <c:v>-9.0700303453716415</c:v>
                </c:pt>
                <c:pt idx="45">
                  <c:v>-11.414280743875198</c:v>
                </c:pt>
              </c:numCache>
            </c:numRef>
          </c:yVal>
          <c:smooth val="1"/>
          <c:extLst>
            <c:ext xmlns:c16="http://schemas.microsoft.com/office/drawing/2014/chart" uri="{C3380CC4-5D6E-409C-BE32-E72D297353CC}">
              <c16:uniqueId val="{00000005-AA23-4107-BE68-7F994EDE8EB7}"/>
            </c:ext>
          </c:extLst>
        </c:ser>
        <c:ser>
          <c:idx val="4"/>
          <c:order val="6"/>
          <c:tx>
            <c:v>Zone4</c:v>
          </c:tx>
          <c:spPr>
            <a:ln w="19050" cap="rnd">
              <a:solidFill>
                <a:schemeClr val="accent2"/>
              </a:solidFill>
              <a:round/>
            </a:ln>
            <a:effectLst/>
          </c:spPr>
          <c:marker>
            <c:symbol val="none"/>
          </c:marker>
          <c:xVal>
            <c:numRef>
              <c:f>'PRC-026 Evaluation'!$AV$25:$AV$70</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xVal>
          <c:yVal>
            <c:numRef>
              <c:f>'PRC-026 Evaluation'!$AW$25:$AW$70</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1"/>
          <c:extLst>
            <c:ext xmlns:c16="http://schemas.microsoft.com/office/drawing/2014/chart" uri="{C3380CC4-5D6E-409C-BE32-E72D297353CC}">
              <c16:uniqueId val="{00000006-AA23-4107-BE68-7F994EDE8EB7}"/>
            </c:ext>
          </c:extLst>
        </c:ser>
        <c:ser>
          <c:idx val="5"/>
          <c:order val="7"/>
          <c:tx>
            <c:v>Zone5</c:v>
          </c:tx>
          <c:spPr>
            <a:ln w="19050" cap="rnd">
              <a:solidFill>
                <a:schemeClr val="accent3"/>
              </a:solidFill>
              <a:round/>
            </a:ln>
            <a:effectLst/>
          </c:spPr>
          <c:marker>
            <c:symbol val="none"/>
          </c:marker>
          <c:xVal>
            <c:numRef>
              <c:f>'PRC-026 Evaluation'!$AX$25:$AX$70</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xVal>
          <c:yVal>
            <c:numRef>
              <c:f>'PRC-026 Evaluation'!$AY$25:$AY$70</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1"/>
          <c:extLst>
            <c:ext xmlns:c16="http://schemas.microsoft.com/office/drawing/2014/chart" uri="{C3380CC4-5D6E-409C-BE32-E72D297353CC}">
              <c16:uniqueId val="{00000007-AA23-4107-BE68-7F994EDE8EB7}"/>
            </c:ext>
          </c:extLst>
        </c:ser>
        <c:dLbls>
          <c:showLegendKey val="0"/>
          <c:showVal val="0"/>
          <c:showCatName val="0"/>
          <c:showSerName val="0"/>
          <c:showPercent val="0"/>
          <c:showBubbleSize val="0"/>
        </c:dLbls>
        <c:axId val="687886312"/>
        <c:axId val="687886640"/>
      </c:scatterChart>
      <c:valAx>
        <c:axId val="6878863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 (Ohms)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86640"/>
        <c:crosses val="autoZero"/>
        <c:crossBetween val="midCat"/>
        <c:minorUnit val="10"/>
      </c:valAx>
      <c:valAx>
        <c:axId val="687886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(Ohms)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86312"/>
        <c:crosses val="autoZero"/>
        <c:crossBetween val="midCat"/>
        <c:minorUnit val="10"/>
      </c:valAx>
      <c:spPr>
        <a:noFill/>
        <a:ln>
          <a:noFill/>
        </a:ln>
        <a:effectLst/>
      </c:spPr>
    </c:plotArea>
    <c:legend>
      <c:legendPos val="r"/>
      <c:layout>
        <c:manualLayout>
          <c:xMode val="edge"/>
          <c:yMode val="edge"/>
          <c:x val="0.76246871428364749"/>
          <c:y val="0.74528268076337245"/>
          <c:w val="0.21400480739429587"/>
          <c:h val="0.211657434623679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xdr:colOff>
          <xdr:row>25</xdr:row>
          <xdr:rowOff>22860</xdr:rowOff>
        </xdr:from>
        <xdr:to>
          <xdr:col>10</xdr:col>
          <xdr:colOff>0</xdr:colOff>
          <xdr:row>30</xdr:row>
          <xdr:rowOff>0</xdr:rowOff>
        </xdr:to>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000-000030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Update calc sheet based </a:t>
              </a:r>
            </a:p>
            <a:p>
              <a:pPr algn="ctr" rtl="0">
                <a:defRPr sz="1000"/>
              </a:pPr>
              <a:r>
                <a:rPr lang="en-IN" sz="1000" b="0" i="0" u="none" strike="noStrike" baseline="0">
                  <a:solidFill>
                    <a:srgbClr val="000000"/>
                  </a:solidFill>
                  <a:latin typeface="Arial"/>
                  <a:cs typeface="Arial"/>
                </a:rPr>
                <a:t>on these selections</a:t>
              </a:r>
            </a:p>
          </xdr:txBody>
        </xdr:sp>
        <xdr:clientData fPrintsWithSheet="0"/>
      </xdr:twoCellAnchor>
    </mc:Choice>
    <mc:Fallback/>
  </mc:AlternateContent>
  <xdr:twoCellAnchor>
    <xdr:from>
      <xdr:col>6</xdr:col>
      <xdr:colOff>19048</xdr:colOff>
      <xdr:row>18</xdr:row>
      <xdr:rowOff>6350</xdr:rowOff>
    </xdr:from>
    <xdr:to>
      <xdr:col>16</xdr:col>
      <xdr:colOff>285749</xdr:colOff>
      <xdr:row>34</xdr:row>
      <xdr:rowOff>76201</xdr:rowOff>
    </xdr:to>
    <xdr:sp macro="" textlink="">
      <xdr:nvSpPr>
        <xdr:cNvPr id="5" name="FRText" hidden="1">
          <a:extLst>
            <a:ext uri="{FF2B5EF4-FFF2-40B4-BE49-F238E27FC236}">
              <a16:creationId xmlns:a16="http://schemas.microsoft.com/office/drawing/2014/main" id="{00000000-0008-0000-0000-000005000000}"/>
            </a:ext>
          </a:extLst>
        </xdr:cNvPr>
        <xdr:cNvSpPr txBox="1"/>
      </xdr:nvSpPr>
      <xdr:spPr>
        <a:xfrm>
          <a:off x="4162423" y="2978150"/>
          <a:ext cx="4895851" cy="2651126"/>
        </a:xfrm>
        <a:prstGeom prst="rect">
          <a:avLst/>
        </a:prstGeom>
        <a:solidFill>
          <a:srgbClr val="FFFF00"/>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MUST</a:t>
          </a:r>
          <a:r>
            <a:rPr lang="en-US" sz="1400" b="1" baseline="0"/>
            <a:t> READ:</a:t>
          </a:r>
        </a:p>
        <a:p>
          <a:pPr algn="ctr"/>
          <a:endParaRPr lang="en-US" sz="1400" b="1" baseline="0"/>
        </a:p>
        <a:p>
          <a:pPr eaLnBrk="1" fontAlgn="auto" latinLnBrk="0" hangingPunct="1"/>
          <a:r>
            <a:rPr lang="en-US" sz="1100">
              <a:solidFill>
                <a:schemeClr val="dk1"/>
              </a:solidFill>
              <a:effectLst/>
              <a:latin typeface="+mn-lt"/>
              <a:ea typeface="+mn-ea"/>
              <a:cs typeface="+mn-cs"/>
            </a:rPr>
            <a:t>Conductor rating data is obtained from Facility Rating workbook</a:t>
          </a:r>
          <a:r>
            <a:rPr lang="en-US" sz="1100" baseline="0">
              <a:solidFill>
                <a:schemeClr val="dk1"/>
              </a:solidFill>
              <a:effectLst/>
              <a:latin typeface="+mn-lt"/>
              <a:ea typeface="+mn-ea"/>
              <a:cs typeface="+mn-cs"/>
            </a:rPr>
            <a:t> FRWB exit conductor while applicable seasonal rating can be selected from the dropdown menu located at column "L." of the FRWB.</a:t>
          </a:r>
        </a:p>
        <a:p>
          <a:pPr eaLnBrk="1" fontAlgn="auto" latinLnBrk="0" hangingPunct="1"/>
          <a:endParaRPr lang="en-US" sz="1400" b="1" baseline="0"/>
        </a:p>
        <a:p>
          <a:r>
            <a:rPr lang="en-US" sz="1100">
              <a:solidFill>
                <a:schemeClr val="dk1"/>
              </a:solidFill>
              <a:effectLst/>
              <a:latin typeface="+mn-lt"/>
              <a:ea typeface="+mn-ea"/>
              <a:cs typeface="+mn-cs"/>
            </a:rPr>
            <a:t>Entergy does not utilize seasonal conductor ratings for its transmission lines.  However,</a:t>
          </a:r>
          <a:r>
            <a:rPr lang="en-US" sz="1100" baseline="0">
              <a:solidFill>
                <a:schemeClr val="dk1"/>
              </a:solidFill>
              <a:effectLst/>
              <a:latin typeface="+mn-lt"/>
              <a:ea typeface="+mn-ea"/>
              <a:cs typeface="+mn-cs"/>
            </a:rPr>
            <a:t> if seasonal rating exist for tie-lines with other entities andthe exit conductor is owned by the other entity, use the </a:t>
          </a:r>
          <a:r>
            <a:rPr lang="en-US" sz="1100" b="1" u="sng" baseline="0">
              <a:solidFill>
                <a:schemeClr val="dk1"/>
              </a:solidFill>
              <a:effectLst/>
              <a:latin typeface="+mn-lt"/>
              <a:ea typeface="+mn-ea"/>
              <a:cs typeface="+mn-cs"/>
            </a:rPr>
            <a:t>HIGHEST SEASONAL RATING </a:t>
          </a:r>
          <a:r>
            <a:rPr lang="en-US" sz="1100" baseline="0">
              <a:solidFill>
                <a:schemeClr val="dk1"/>
              </a:solidFill>
              <a:effectLst/>
              <a:latin typeface="+mn-lt"/>
              <a:ea typeface="+mn-ea"/>
              <a:cs typeface="+mn-cs"/>
            </a:rPr>
            <a:t>of the facility of interest for relay settings calculations.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unable to obtain conductor rating value</a:t>
          </a:r>
          <a:r>
            <a:rPr lang="en-US" sz="1100" baseline="0">
              <a:solidFill>
                <a:schemeClr val="dk1"/>
              </a:solidFill>
              <a:effectLst/>
              <a:latin typeface="+mn-lt"/>
              <a:ea typeface="+mn-ea"/>
              <a:cs typeface="+mn-cs"/>
            </a:rPr>
            <a:t> then</a:t>
          </a:r>
          <a:r>
            <a:rPr lang="en-US" sz="1100">
              <a:solidFill>
                <a:schemeClr val="dk1"/>
              </a:solidFill>
              <a:effectLst/>
              <a:latin typeface="+mn-lt"/>
              <a:ea typeface="+mn-ea"/>
              <a:cs typeface="+mn-cs"/>
            </a:rPr>
            <a:t>, </a:t>
          </a:r>
          <a:r>
            <a:rPr lang="en-US" sz="1100" b="1" u="sng">
              <a:solidFill>
                <a:schemeClr val="dk1"/>
              </a:solidFill>
              <a:effectLst/>
              <a:latin typeface="+mn-lt"/>
              <a:ea typeface="+mn-ea"/>
              <a:cs typeface="+mn-cs"/>
            </a:rPr>
            <a:t>DO NOT</a:t>
          </a:r>
          <a:r>
            <a:rPr lang="en-US" sz="1100" b="1" u="none">
              <a:solidFill>
                <a:schemeClr val="dk1"/>
              </a:solidFill>
              <a:effectLst/>
              <a:latin typeface="+mn-lt"/>
              <a:ea typeface="+mn-ea"/>
              <a:cs typeface="+mn-cs"/>
            </a:rPr>
            <a:t> </a:t>
          </a:r>
          <a:r>
            <a:rPr lang="en-US" sz="1100">
              <a:solidFill>
                <a:schemeClr val="dk1"/>
              </a:solidFill>
              <a:effectLst/>
              <a:latin typeface="+mn-lt"/>
              <a:ea typeface="+mn-ea"/>
              <a:cs typeface="+mn-cs"/>
            </a:rPr>
            <a:t>finalize settings until proper conductor rating is obtained and verified that  settings</a:t>
          </a:r>
          <a:r>
            <a:rPr lang="en-US" sz="1100" baseline="0">
              <a:solidFill>
                <a:schemeClr val="dk1"/>
              </a:solidFill>
              <a:effectLst/>
              <a:latin typeface="+mn-lt"/>
              <a:ea typeface="+mn-ea"/>
              <a:cs typeface="+mn-cs"/>
            </a:rPr>
            <a:t> do not limit the terminal on  violation of PRC-023</a:t>
          </a:r>
          <a:r>
            <a:rPr lang="en-US" sz="1100">
              <a:solidFill>
                <a:schemeClr val="dk1"/>
              </a:solidFill>
              <a:effectLst/>
              <a:latin typeface="+mn-lt"/>
              <a:ea typeface="+mn-ea"/>
              <a:cs typeface="+mn-cs"/>
            </a:rPr>
            <a:t>.</a:t>
          </a:r>
        </a:p>
      </xdr:txBody>
    </xdr:sp>
    <xdr:clientData/>
  </xdr:twoCellAnchor>
  <mc:AlternateContent xmlns:mc="http://schemas.openxmlformats.org/markup-compatibility/2006">
    <mc:Choice xmlns:a14="http://schemas.microsoft.com/office/drawing/2010/main" Requires="a14">
      <xdr:twoCellAnchor editAs="oneCell">
        <xdr:from>
          <xdr:col>8</xdr:col>
          <xdr:colOff>22860</xdr:colOff>
          <xdr:row>6</xdr:row>
          <xdr:rowOff>60960</xdr:rowOff>
        </xdr:from>
        <xdr:to>
          <xdr:col>12</xdr:col>
          <xdr:colOff>518160</xdr:colOff>
          <xdr:row>8</xdr:row>
          <xdr:rowOff>121920</xdr:rowOff>
        </xdr:to>
        <xdr:sp macro="" textlink="">
          <xdr:nvSpPr>
            <xdr:cNvPr id="8485" name="SDA_Button1" hidden="1">
              <a:extLst>
                <a:ext uri="{63B3BB69-23CF-44E3-9099-C40C66FF867C}">
                  <a14:compatExt spid="_x0000_s8485"/>
                </a:ext>
                <a:ext uri="{FF2B5EF4-FFF2-40B4-BE49-F238E27FC236}">
                  <a16:creationId xmlns:a16="http://schemas.microsoft.com/office/drawing/2014/main" id="{00000000-0008-0000-0000-0000252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9</xdr:row>
          <xdr:rowOff>22860</xdr:rowOff>
        </xdr:from>
        <xdr:to>
          <xdr:col>12</xdr:col>
          <xdr:colOff>518160</xdr:colOff>
          <xdr:row>11</xdr:row>
          <xdr:rowOff>68580</xdr:rowOff>
        </xdr:to>
        <xdr:sp macro="" textlink="">
          <xdr:nvSpPr>
            <xdr:cNvPr id="8492" name="ClearSDA" hidden="1">
              <a:extLst>
                <a:ext uri="{63B3BB69-23CF-44E3-9099-C40C66FF867C}">
                  <a14:compatExt spid="_x0000_s8492"/>
                </a:ext>
                <a:ext uri="{FF2B5EF4-FFF2-40B4-BE49-F238E27FC236}">
                  <a16:creationId xmlns:a16="http://schemas.microsoft.com/office/drawing/2014/main" id="{00000000-0008-0000-0000-00002C2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480060</xdr:colOff>
          <xdr:row>274</xdr:row>
          <xdr:rowOff>83820</xdr:rowOff>
        </xdr:from>
        <xdr:to>
          <xdr:col>6</xdr:col>
          <xdr:colOff>556260</xdr:colOff>
          <xdr:row>279</xdr:row>
          <xdr:rowOff>76200</xdr:rowOff>
        </xdr:to>
        <xdr:sp macro="" textlink="">
          <xdr:nvSpPr>
            <xdr:cNvPr id="38931" name="Object 19" hidden="1">
              <a:extLst>
                <a:ext uri="{63B3BB69-23CF-44E3-9099-C40C66FF867C}">
                  <a14:compatExt spid="_x0000_s38931"/>
                </a:ext>
                <a:ext uri="{FF2B5EF4-FFF2-40B4-BE49-F238E27FC236}">
                  <a16:creationId xmlns:a16="http://schemas.microsoft.com/office/drawing/2014/main" id="{00000000-0008-0000-0400-00001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518160</xdr:colOff>
          <xdr:row>265</xdr:row>
          <xdr:rowOff>7620</xdr:rowOff>
        </xdr:from>
        <xdr:to>
          <xdr:col>6</xdr:col>
          <xdr:colOff>594360</xdr:colOff>
          <xdr:row>270</xdr:row>
          <xdr:rowOff>0</xdr:rowOff>
        </xdr:to>
        <xdr:sp macro="" textlink="">
          <xdr:nvSpPr>
            <xdr:cNvPr id="38934" name="Object 22" hidden="1">
              <a:extLst>
                <a:ext uri="{63B3BB69-23CF-44E3-9099-C40C66FF867C}">
                  <a14:compatExt spid="_x0000_s38934"/>
                </a:ext>
                <a:ext uri="{FF2B5EF4-FFF2-40B4-BE49-F238E27FC236}">
                  <a16:creationId xmlns:a16="http://schemas.microsoft.com/office/drawing/2014/main" id="{00000000-0008-0000-0400-000016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403860</xdr:colOff>
          <xdr:row>285</xdr:row>
          <xdr:rowOff>121920</xdr:rowOff>
        </xdr:from>
        <xdr:to>
          <xdr:col>6</xdr:col>
          <xdr:colOff>464820</xdr:colOff>
          <xdr:row>290</xdr:row>
          <xdr:rowOff>114300</xdr:rowOff>
        </xdr:to>
        <xdr:sp macro="" textlink="">
          <xdr:nvSpPr>
            <xdr:cNvPr id="38935" name="Object 23" hidden="1">
              <a:extLst>
                <a:ext uri="{63B3BB69-23CF-44E3-9099-C40C66FF867C}">
                  <a14:compatExt spid="_x0000_s38935"/>
                </a:ext>
                <a:ext uri="{FF2B5EF4-FFF2-40B4-BE49-F238E27FC236}">
                  <a16:creationId xmlns:a16="http://schemas.microsoft.com/office/drawing/2014/main" id="{00000000-0008-0000-0400-000017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295</xdr:row>
          <xdr:rowOff>99060</xdr:rowOff>
        </xdr:from>
        <xdr:to>
          <xdr:col>6</xdr:col>
          <xdr:colOff>419100</xdr:colOff>
          <xdr:row>300</xdr:row>
          <xdr:rowOff>76200</xdr:rowOff>
        </xdr:to>
        <xdr:sp macro="" textlink="">
          <xdr:nvSpPr>
            <xdr:cNvPr id="38936" name="Object 24" hidden="1">
              <a:extLst>
                <a:ext uri="{63B3BB69-23CF-44E3-9099-C40C66FF867C}">
                  <a14:compatExt spid="_x0000_s38936"/>
                </a:ext>
                <a:ext uri="{FF2B5EF4-FFF2-40B4-BE49-F238E27FC236}">
                  <a16:creationId xmlns:a16="http://schemas.microsoft.com/office/drawing/2014/main" id="{00000000-0008-0000-0400-00001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316</xdr:row>
          <xdr:rowOff>68580</xdr:rowOff>
        </xdr:from>
        <xdr:to>
          <xdr:col>7</xdr:col>
          <xdr:colOff>121920</xdr:colOff>
          <xdr:row>327</xdr:row>
          <xdr:rowOff>121920</xdr:rowOff>
        </xdr:to>
        <xdr:sp macro="" textlink="">
          <xdr:nvSpPr>
            <xdr:cNvPr id="38941" name="Object 29" hidden="1">
              <a:extLst>
                <a:ext uri="{63B3BB69-23CF-44E3-9099-C40C66FF867C}">
                  <a14:compatExt spid="_x0000_s38941"/>
                </a:ext>
                <a:ext uri="{FF2B5EF4-FFF2-40B4-BE49-F238E27FC236}">
                  <a16:creationId xmlns:a16="http://schemas.microsoft.com/office/drawing/2014/main" id="{00000000-0008-0000-0400-00001D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8</xdr:col>
      <xdr:colOff>653141</xdr:colOff>
      <xdr:row>327</xdr:row>
      <xdr:rowOff>21772</xdr:rowOff>
    </xdr:from>
    <xdr:to>
      <xdr:col>13</xdr:col>
      <xdr:colOff>147596</xdr:colOff>
      <xdr:row>331</xdr:row>
      <xdr:rowOff>32536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7097484" y="64835315"/>
          <a:ext cx="2194112" cy="794535"/>
        </a:xfrm>
        <a:prstGeom prst="rect">
          <a:avLst/>
        </a:prstGeom>
      </xdr:spPr>
    </xdr:pic>
    <xdr:clientData/>
  </xdr:twoCellAnchor>
  <xdr:twoCellAnchor>
    <xdr:from>
      <xdr:col>14</xdr:col>
      <xdr:colOff>141514</xdr:colOff>
      <xdr:row>328</xdr:row>
      <xdr:rowOff>76200</xdr:rowOff>
    </xdr:from>
    <xdr:to>
      <xdr:col>15</xdr:col>
      <xdr:colOff>28175</xdr:colOff>
      <xdr:row>329</xdr:row>
      <xdr:rowOff>178334</xdr:rowOff>
    </xdr:to>
    <xdr:sp macro="" textlink="">
      <xdr:nvSpPr>
        <xdr:cNvPr id="3" name="Arrow: Right 2">
          <a:extLst>
            <a:ext uri="{FF2B5EF4-FFF2-40B4-BE49-F238E27FC236}">
              <a16:creationId xmlns:a16="http://schemas.microsoft.com/office/drawing/2014/main" id="{00000000-0008-0000-0400-000003000000}"/>
            </a:ext>
          </a:extLst>
        </xdr:cNvPr>
        <xdr:cNvSpPr/>
      </xdr:nvSpPr>
      <xdr:spPr>
        <a:xfrm>
          <a:off x="9503228" y="65085686"/>
          <a:ext cx="605118" cy="298077"/>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15</xdr:col>
          <xdr:colOff>403860</xdr:colOff>
          <xdr:row>325</xdr:row>
          <xdr:rowOff>7620</xdr:rowOff>
        </xdr:from>
        <xdr:to>
          <xdr:col>23</xdr:col>
          <xdr:colOff>541020</xdr:colOff>
          <xdr:row>334</xdr:row>
          <xdr:rowOff>182880</xdr:rowOff>
        </xdr:to>
        <xdr:sp macro="" textlink="">
          <xdr:nvSpPr>
            <xdr:cNvPr id="38942" name="Object 30" hidden="1">
              <a:extLst>
                <a:ext uri="{63B3BB69-23CF-44E3-9099-C40C66FF867C}">
                  <a14:compatExt spid="_x0000_s38942"/>
                </a:ext>
                <a:ext uri="{FF2B5EF4-FFF2-40B4-BE49-F238E27FC236}">
                  <a16:creationId xmlns:a16="http://schemas.microsoft.com/office/drawing/2014/main" id="{00000000-0008-0000-0400-00001E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121920</xdr:colOff>
          <xdr:row>330</xdr:row>
          <xdr:rowOff>83820</xdr:rowOff>
        </xdr:from>
        <xdr:to>
          <xdr:col>7</xdr:col>
          <xdr:colOff>137160</xdr:colOff>
          <xdr:row>341</xdr:row>
          <xdr:rowOff>137160</xdr:rowOff>
        </xdr:to>
        <xdr:sp macro="" textlink="">
          <xdr:nvSpPr>
            <xdr:cNvPr id="38943" name="Object 31" hidden="1">
              <a:extLst>
                <a:ext uri="{63B3BB69-23CF-44E3-9099-C40C66FF867C}">
                  <a14:compatExt spid="_x0000_s38943"/>
                </a:ext>
                <a:ext uri="{FF2B5EF4-FFF2-40B4-BE49-F238E27FC236}">
                  <a16:creationId xmlns:a16="http://schemas.microsoft.com/office/drawing/2014/main" id="{00000000-0008-0000-0400-00001F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xdr:colOff>
      <xdr:row>325</xdr:row>
      <xdr:rowOff>130629</xdr:rowOff>
    </xdr:from>
    <xdr:to>
      <xdr:col>8</xdr:col>
      <xdr:colOff>605119</xdr:colOff>
      <xdr:row>327</xdr:row>
      <xdr:rowOff>36820</xdr:rowOff>
    </xdr:to>
    <xdr:sp macro="" textlink="">
      <xdr:nvSpPr>
        <xdr:cNvPr id="4" name="Arrow: Right 3">
          <a:extLst>
            <a:ext uri="{FF2B5EF4-FFF2-40B4-BE49-F238E27FC236}">
              <a16:creationId xmlns:a16="http://schemas.microsoft.com/office/drawing/2014/main" id="{00000000-0008-0000-0400-000004000000}"/>
            </a:ext>
          </a:extLst>
        </xdr:cNvPr>
        <xdr:cNvSpPr/>
      </xdr:nvSpPr>
      <xdr:spPr>
        <a:xfrm rot="2359724">
          <a:off x="6444344" y="64552286"/>
          <a:ext cx="605118" cy="298077"/>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7</xdr:col>
      <xdr:colOff>115783</xdr:colOff>
      <xdr:row>331</xdr:row>
      <xdr:rowOff>174172</xdr:rowOff>
    </xdr:from>
    <xdr:to>
      <xdr:col>8</xdr:col>
      <xdr:colOff>582355</xdr:colOff>
      <xdr:row>333</xdr:row>
      <xdr:rowOff>82342</xdr:rowOff>
    </xdr:to>
    <xdr:sp macro="" textlink="">
      <xdr:nvSpPr>
        <xdr:cNvPr id="5" name="Arrow: Right 4">
          <a:extLst>
            <a:ext uri="{FF2B5EF4-FFF2-40B4-BE49-F238E27FC236}">
              <a16:creationId xmlns:a16="http://schemas.microsoft.com/office/drawing/2014/main" id="{00000000-0008-0000-0400-000005000000}"/>
            </a:ext>
          </a:extLst>
        </xdr:cNvPr>
        <xdr:cNvSpPr/>
      </xdr:nvSpPr>
      <xdr:spPr>
        <a:xfrm rot="19391134">
          <a:off x="6419601" y="65429081"/>
          <a:ext cx="605118" cy="296097"/>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oneCell">
    <xdr:from>
      <xdr:col>3</xdr:col>
      <xdr:colOff>62753</xdr:colOff>
      <xdr:row>328</xdr:row>
      <xdr:rowOff>35857</xdr:rowOff>
    </xdr:from>
    <xdr:to>
      <xdr:col>4</xdr:col>
      <xdr:colOff>421342</xdr:colOff>
      <xdr:row>330</xdr:row>
      <xdr:rowOff>49085</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3021106" y="64725175"/>
          <a:ext cx="493060" cy="407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30480</xdr:colOff>
          <xdr:row>304</xdr:row>
          <xdr:rowOff>60960</xdr:rowOff>
        </xdr:from>
        <xdr:to>
          <xdr:col>5</xdr:col>
          <xdr:colOff>83820</xdr:colOff>
          <xdr:row>314</xdr:row>
          <xdr:rowOff>68580</xdr:rowOff>
        </xdr:to>
        <xdr:sp macro="" textlink="">
          <xdr:nvSpPr>
            <xdr:cNvPr id="38944" name="Object 32" hidden="1">
              <a:extLst>
                <a:ext uri="{63B3BB69-23CF-44E3-9099-C40C66FF867C}">
                  <a14:compatExt spid="_x0000_s38944"/>
                </a:ext>
                <a:ext uri="{FF2B5EF4-FFF2-40B4-BE49-F238E27FC236}">
                  <a16:creationId xmlns:a16="http://schemas.microsoft.com/office/drawing/2014/main" id="{00000000-0008-0000-0400-0000209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304</xdr:row>
          <xdr:rowOff>68580</xdr:rowOff>
        </xdr:from>
        <xdr:to>
          <xdr:col>14</xdr:col>
          <xdr:colOff>487680</xdr:colOff>
          <xdr:row>314</xdr:row>
          <xdr:rowOff>106680</xdr:rowOff>
        </xdr:to>
        <xdr:sp macro="" textlink="">
          <xdr:nvSpPr>
            <xdr:cNvPr id="38945" name="Object 33" hidden="1">
              <a:extLst>
                <a:ext uri="{63B3BB69-23CF-44E3-9099-C40C66FF867C}">
                  <a14:compatExt spid="_x0000_s38945"/>
                </a:ext>
                <a:ext uri="{FF2B5EF4-FFF2-40B4-BE49-F238E27FC236}">
                  <a16:creationId xmlns:a16="http://schemas.microsoft.com/office/drawing/2014/main" id="{00000000-0008-0000-0400-0000219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60960</xdr:colOff>
          <xdr:row>304</xdr:row>
          <xdr:rowOff>60960</xdr:rowOff>
        </xdr:from>
        <xdr:to>
          <xdr:col>21</xdr:col>
          <xdr:colOff>1165860</xdr:colOff>
          <xdr:row>314</xdr:row>
          <xdr:rowOff>99060</xdr:rowOff>
        </xdr:to>
        <xdr:sp macro="" textlink="">
          <xdr:nvSpPr>
            <xdr:cNvPr id="38946" name="Object 34" hidden="1">
              <a:extLst>
                <a:ext uri="{63B3BB69-23CF-44E3-9099-C40C66FF867C}">
                  <a14:compatExt spid="_x0000_s38946"/>
                </a:ext>
                <a:ext uri="{FF2B5EF4-FFF2-40B4-BE49-F238E27FC236}">
                  <a16:creationId xmlns:a16="http://schemas.microsoft.com/office/drawing/2014/main" id="{00000000-0008-0000-0400-0000229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114301</xdr:colOff>
      <xdr:row>5</xdr:row>
      <xdr:rowOff>83819</xdr:rowOff>
    </xdr:from>
    <xdr:to>
      <xdr:col>21</xdr:col>
      <xdr:colOff>150496</xdr:colOff>
      <xdr:row>11</xdr:row>
      <xdr:rowOff>104774</xdr:rowOff>
    </xdr:to>
    <xdr:sp macro="" textlink="">
      <xdr:nvSpPr>
        <xdr:cNvPr id="2049" name="Text 1">
          <a:extLst>
            <a:ext uri="{FF2B5EF4-FFF2-40B4-BE49-F238E27FC236}">
              <a16:creationId xmlns:a16="http://schemas.microsoft.com/office/drawing/2014/main" id="{00000000-0008-0000-0500-000001080000}"/>
            </a:ext>
          </a:extLst>
        </xdr:cNvPr>
        <xdr:cNvSpPr>
          <a:spLocks noChangeArrowheads="1"/>
        </xdr:cNvSpPr>
      </xdr:nvSpPr>
      <xdr:spPr bwMode="auto">
        <a:xfrm>
          <a:off x="114301" y="1064894"/>
          <a:ext cx="7208520" cy="992505"/>
        </a:xfrm>
        <a:prstGeom prst="roundRect">
          <a:avLst>
            <a:gd name="adj" fmla="val 16667"/>
          </a:avLst>
        </a:prstGeom>
        <a:solidFill>
          <a:srgbClr val="FFFFFF"/>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1" i="0" strike="noStrike">
              <a:solidFill>
                <a:srgbClr val="000080"/>
              </a:solidFill>
              <a:latin typeface="Arial"/>
              <a:cs typeface="Arial"/>
            </a:rPr>
            <a:t>Perform Line-end open 3 phase faults on all 2nd lines (as listed below).</a:t>
          </a:r>
        </a:p>
        <a:p>
          <a:pPr algn="ctr" rtl="0">
            <a:defRPr sz="1000"/>
          </a:pPr>
          <a:r>
            <a:rPr lang="en-US" sz="1000" b="1" i="0" strike="noStrike">
              <a:solidFill>
                <a:srgbClr val="000080"/>
              </a:solidFill>
              <a:latin typeface="Arial"/>
              <a:cs typeface="Arial"/>
            </a:rPr>
            <a:t> Write: Impedance magnitude and angle at the line location. This can be found by right clicking on the relay we</a:t>
          </a:r>
          <a:r>
            <a:rPr lang="en-US" sz="1000" b="1" i="0" strike="noStrike" baseline="0">
              <a:solidFill>
                <a:srgbClr val="000080"/>
              </a:solidFill>
              <a:latin typeface="Arial"/>
              <a:cs typeface="Arial"/>
            </a:rPr>
            <a:t> are devloping settings for and then select Show Phasors--&gt;Panel 1.</a:t>
          </a:r>
          <a:endParaRPr lang="en-US" sz="1000" b="1" i="0" strike="noStrike">
            <a:solidFill>
              <a:srgbClr val="000080"/>
            </a:solidFill>
            <a:latin typeface="Arial"/>
            <a:cs typeface="Arial"/>
          </a:endParaRPr>
        </a:p>
        <a:p>
          <a:pPr algn="ctr" rtl="0">
            <a:defRPr sz="1000"/>
          </a:pPr>
          <a:endParaRPr lang="en-US" sz="1000" b="1" i="0" strike="noStrike">
            <a:solidFill>
              <a:srgbClr val="000080"/>
            </a:solidFill>
            <a:latin typeface="Arial"/>
            <a:cs typeface="Arial"/>
          </a:endParaRPr>
        </a:p>
        <a:p>
          <a:pPr algn="ctr" rtl="0">
            <a:defRPr sz="1000"/>
          </a:pPr>
          <a:r>
            <a:rPr lang="en-US" sz="1000" b="1" i="0" strike="noStrike">
              <a:solidFill>
                <a:srgbClr val="000080"/>
              </a:solidFill>
              <a:latin typeface="Arial"/>
              <a:cs typeface="Arial"/>
            </a:rPr>
            <a:t>List all second lines and perform fault studies in the same order.</a:t>
          </a:r>
        </a:p>
        <a:p>
          <a:pPr algn="ctr" rtl="0">
            <a:defRPr sz="1000"/>
          </a:pPr>
          <a:r>
            <a:rPr lang="en-US" sz="1000" b="1" i="0" strike="noStrike">
              <a:solidFill>
                <a:srgbClr val="000080"/>
              </a:solidFill>
              <a:latin typeface="Arial"/>
              <a:cs typeface="Arial"/>
            </a:rPr>
            <a:t>Treat system autotransformers as line impedences!</a:t>
          </a:r>
        </a:p>
      </xdr:txBody>
    </xdr:sp>
    <xdr:clientData/>
  </xdr:twoCellAnchor>
  <xdr:twoCellAnchor>
    <xdr:from>
      <xdr:col>5</xdr:col>
      <xdr:colOff>133350</xdr:colOff>
      <xdr:row>31</xdr:row>
      <xdr:rowOff>57150</xdr:rowOff>
    </xdr:from>
    <xdr:to>
      <xdr:col>21</xdr:col>
      <xdr:colOff>285750</xdr:colOff>
      <xdr:row>36</xdr:row>
      <xdr:rowOff>95250</xdr:rowOff>
    </xdr:to>
    <xdr:sp macro="" textlink="">
      <xdr:nvSpPr>
        <xdr:cNvPr id="2056" name="Text 2">
          <a:extLst>
            <a:ext uri="{FF2B5EF4-FFF2-40B4-BE49-F238E27FC236}">
              <a16:creationId xmlns:a16="http://schemas.microsoft.com/office/drawing/2014/main" id="{00000000-0008-0000-0500-000008080000}"/>
            </a:ext>
          </a:extLst>
        </xdr:cNvPr>
        <xdr:cNvSpPr>
          <a:spLocks noChangeArrowheads="1"/>
        </xdr:cNvSpPr>
      </xdr:nvSpPr>
      <xdr:spPr bwMode="auto">
        <a:xfrm>
          <a:off x="133350" y="5886450"/>
          <a:ext cx="7324725" cy="847725"/>
        </a:xfrm>
        <a:prstGeom prst="roundRect">
          <a:avLst>
            <a:gd name="adj" fmla="val 17074"/>
          </a:avLst>
        </a:prstGeom>
        <a:solidFill>
          <a:srgbClr val="FFFFFF"/>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1" i="0" strike="noStrike">
              <a:solidFill>
                <a:srgbClr val="000080"/>
              </a:solidFill>
              <a:latin typeface="Arial"/>
              <a:cs typeface="Arial"/>
            </a:rPr>
            <a:t>Fill out this section only if you have one or more tapped lines off of your line.  Perform Line-end open 3 phase faults on all tapped lines (as listed below).  </a:t>
          </a:r>
        </a:p>
        <a:p>
          <a:pPr algn="ctr" rtl="0">
            <a:defRPr sz="1000"/>
          </a:pPr>
          <a:r>
            <a:rPr lang="en-US" sz="1000" b="1" i="0" strike="noStrike">
              <a:solidFill>
                <a:srgbClr val="000080"/>
              </a:solidFill>
              <a:latin typeface="Arial"/>
              <a:cs typeface="Arial"/>
            </a:rPr>
            <a:t>Write: Magnitude and Angle of Apparent Impedance at relay location. This can be found by right clicking on the relay we are devloping settings for and then select Show Phasors--&gt;Panel 1.</a:t>
          </a:r>
        </a:p>
        <a:p>
          <a:pPr algn="ctr" rtl="0">
            <a:defRPr sz="1000"/>
          </a:pPr>
          <a:endParaRPr lang="en-US" sz="1000" b="1" i="0" strike="noStrike">
            <a:solidFill>
              <a:srgbClr val="00008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933450</xdr:colOff>
      <xdr:row>31</xdr:row>
      <xdr:rowOff>142875</xdr:rowOff>
    </xdr:from>
    <xdr:to>
      <xdr:col>3</xdr:col>
      <xdr:colOff>95250</xdr:colOff>
      <xdr:row>31</xdr:row>
      <xdr:rowOff>142875</xdr:rowOff>
    </xdr:to>
    <xdr:cxnSp macro="">
      <xdr:nvCxnSpPr>
        <xdr:cNvPr id="3" name="Straight Connector 2">
          <a:extLst>
            <a:ext uri="{FF2B5EF4-FFF2-40B4-BE49-F238E27FC236}">
              <a16:creationId xmlns:a16="http://schemas.microsoft.com/office/drawing/2014/main" id="{00000000-0008-0000-0700-000003000000}"/>
            </a:ext>
          </a:extLst>
        </xdr:cNvPr>
        <xdr:cNvCxnSpPr/>
      </xdr:nvCxnSpPr>
      <xdr:spPr>
        <a:xfrm>
          <a:off x="2371725" y="5705475"/>
          <a:ext cx="122872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114300</xdr:colOff>
      <xdr:row>32</xdr:row>
      <xdr:rowOff>9525</xdr:rowOff>
    </xdr:from>
    <xdr:to>
      <xdr:col>4</xdr:col>
      <xdr:colOff>352425</xdr:colOff>
      <xdr:row>32</xdr:row>
      <xdr:rowOff>9525</xdr:rowOff>
    </xdr:to>
    <xdr:cxnSp macro="">
      <xdr:nvCxnSpPr>
        <xdr:cNvPr id="4" name="Straight Connector 3">
          <a:extLst>
            <a:ext uri="{FF2B5EF4-FFF2-40B4-BE49-F238E27FC236}">
              <a16:creationId xmlns:a16="http://schemas.microsoft.com/office/drawing/2014/main" id="{00000000-0008-0000-0700-000004000000}"/>
            </a:ext>
          </a:extLst>
        </xdr:cNvPr>
        <xdr:cNvCxnSpPr/>
      </xdr:nvCxnSpPr>
      <xdr:spPr>
        <a:xfrm>
          <a:off x="3790950" y="5734050"/>
          <a:ext cx="23812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876300</xdr:colOff>
      <xdr:row>31</xdr:row>
      <xdr:rowOff>0</xdr:rowOff>
    </xdr:from>
    <xdr:to>
      <xdr:col>5</xdr:col>
      <xdr:colOff>38100</xdr:colOff>
      <xdr:row>33</xdr:row>
      <xdr:rowOff>0</xdr:rowOff>
    </xdr:to>
    <xdr:sp macro="" textlink="">
      <xdr:nvSpPr>
        <xdr:cNvPr id="6" name="Double Bracket 5">
          <a:extLst>
            <a:ext uri="{FF2B5EF4-FFF2-40B4-BE49-F238E27FC236}">
              <a16:creationId xmlns:a16="http://schemas.microsoft.com/office/drawing/2014/main" id="{00000000-0008-0000-0700-000006000000}"/>
            </a:ext>
          </a:extLst>
        </xdr:cNvPr>
        <xdr:cNvSpPr/>
      </xdr:nvSpPr>
      <xdr:spPr>
        <a:xfrm>
          <a:off x="876300" y="5543550"/>
          <a:ext cx="2657475" cy="352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5</xdr:col>
      <xdr:colOff>895350</xdr:colOff>
      <xdr:row>31</xdr:row>
      <xdr:rowOff>0</xdr:rowOff>
    </xdr:from>
    <xdr:to>
      <xdr:col>12</xdr:col>
      <xdr:colOff>142875</xdr:colOff>
      <xdr:row>33</xdr:row>
      <xdr:rowOff>0</xdr:rowOff>
    </xdr:to>
    <xdr:sp macro="" textlink="">
      <xdr:nvSpPr>
        <xdr:cNvPr id="7" name="Double Bracket 6">
          <a:extLst>
            <a:ext uri="{FF2B5EF4-FFF2-40B4-BE49-F238E27FC236}">
              <a16:creationId xmlns:a16="http://schemas.microsoft.com/office/drawing/2014/main" id="{00000000-0008-0000-0700-000007000000}"/>
            </a:ext>
          </a:extLst>
        </xdr:cNvPr>
        <xdr:cNvSpPr/>
      </xdr:nvSpPr>
      <xdr:spPr>
        <a:xfrm>
          <a:off x="895350" y="6048375"/>
          <a:ext cx="3676650" cy="3619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6</xdr:col>
      <xdr:colOff>0</xdr:colOff>
      <xdr:row>32</xdr:row>
      <xdr:rowOff>0</xdr:rowOff>
    </xdr:from>
    <xdr:to>
      <xdr:col>9</xdr:col>
      <xdr:colOff>295275</xdr:colOff>
      <xdr:row>32</xdr:row>
      <xdr:rowOff>9525</xdr:rowOff>
    </xdr:to>
    <xdr:cxnSp macro="">
      <xdr:nvCxnSpPr>
        <xdr:cNvPr id="8" name="Straight Connector 7">
          <a:extLst>
            <a:ext uri="{FF2B5EF4-FFF2-40B4-BE49-F238E27FC236}">
              <a16:creationId xmlns:a16="http://schemas.microsoft.com/office/drawing/2014/main" id="{00000000-0008-0000-0700-000008000000}"/>
            </a:ext>
          </a:extLst>
        </xdr:cNvPr>
        <xdr:cNvCxnSpPr/>
      </xdr:nvCxnSpPr>
      <xdr:spPr>
        <a:xfrm>
          <a:off x="4143375" y="5724525"/>
          <a:ext cx="1704975" cy="952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209550</xdr:colOff>
      <xdr:row>32</xdr:row>
      <xdr:rowOff>9525</xdr:rowOff>
    </xdr:from>
    <xdr:to>
      <xdr:col>11</xdr:col>
      <xdr:colOff>447675</xdr:colOff>
      <xdr:row>32</xdr:row>
      <xdr:rowOff>9525</xdr:rowOff>
    </xdr:to>
    <xdr:cxnSp macro="">
      <xdr:nvCxnSpPr>
        <xdr:cNvPr id="10" name="Straight Connector 9">
          <a:extLst>
            <a:ext uri="{FF2B5EF4-FFF2-40B4-BE49-F238E27FC236}">
              <a16:creationId xmlns:a16="http://schemas.microsoft.com/office/drawing/2014/main" id="{00000000-0008-0000-0700-00000A000000}"/>
            </a:ext>
          </a:extLst>
        </xdr:cNvPr>
        <xdr:cNvCxnSpPr/>
      </xdr:nvCxnSpPr>
      <xdr:spPr>
        <a:xfrm>
          <a:off x="6629400" y="5734050"/>
          <a:ext cx="23812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29308</xdr:colOff>
      <xdr:row>33</xdr:row>
      <xdr:rowOff>14655</xdr:rowOff>
    </xdr:from>
    <xdr:to>
      <xdr:col>17</xdr:col>
      <xdr:colOff>51290</xdr:colOff>
      <xdr:row>33</xdr:row>
      <xdr:rowOff>153867</xdr:rowOff>
    </xdr:to>
    <xdr:sp macro="" textlink="">
      <xdr:nvSpPr>
        <xdr:cNvPr id="11" name="Double Bracket 10">
          <a:extLst>
            <a:ext uri="{FF2B5EF4-FFF2-40B4-BE49-F238E27FC236}">
              <a16:creationId xmlns:a16="http://schemas.microsoft.com/office/drawing/2014/main" id="{00000000-0008-0000-0700-00000B000000}"/>
            </a:ext>
          </a:extLst>
        </xdr:cNvPr>
        <xdr:cNvSpPr/>
      </xdr:nvSpPr>
      <xdr:spPr>
        <a:xfrm>
          <a:off x="8081596" y="5399943"/>
          <a:ext cx="1707175" cy="139212"/>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13</xdr:col>
      <xdr:colOff>895350</xdr:colOff>
      <xdr:row>31</xdr:row>
      <xdr:rowOff>0</xdr:rowOff>
    </xdr:from>
    <xdr:to>
      <xdr:col>19</xdr:col>
      <xdr:colOff>47625</xdr:colOff>
      <xdr:row>32</xdr:row>
      <xdr:rowOff>9525</xdr:rowOff>
    </xdr:to>
    <xdr:sp macro="" textlink="">
      <xdr:nvSpPr>
        <xdr:cNvPr id="12" name="Double Bracket 11">
          <a:extLst>
            <a:ext uri="{FF2B5EF4-FFF2-40B4-BE49-F238E27FC236}">
              <a16:creationId xmlns:a16="http://schemas.microsoft.com/office/drawing/2014/main" id="{00000000-0008-0000-0700-00000C000000}"/>
            </a:ext>
          </a:extLst>
        </xdr:cNvPr>
        <xdr:cNvSpPr/>
      </xdr:nvSpPr>
      <xdr:spPr>
        <a:xfrm>
          <a:off x="895350" y="6477000"/>
          <a:ext cx="3295650" cy="2286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7</xdr:col>
      <xdr:colOff>243987</xdr:colOff>
      <xdr:row>32</xdr:row>
      <xdr:rowOff>19050</xdr:rowOff>
    </xdr:from>
    <xdr:to>
      <xdr:col>9</xdr:col>
      <xdr:colOff>424962</xdr:colOff>
      <xdr:row>33</xdr:row>
      <xdr:rowOff>7327</xdr:rowOff>
    </xdr:to>
    <xdr:sp macro="" textlink="">
      <xdr:nvSpPr>
        <xdr:cNvPr id="13" name="Double Bracket 12">
          <a:extLst>
            <a:ext uri="{FF2B5EF4-FFF2-40B4-BE49-F238E27FC236}">
              <a16:creationId xmlns:a16="http://schemas.microsoft.com/office/drawing/2014/main" id="{00000000-0008-0000-0700-00000D000000}"/>
            </a:ext>
          </a:extLst>
        </xdr:cNvPr>
        <xdr:cNvSpPr/>
      </xdr:nvSpPr>
      <xdr:spPr>
        <a:xfrm>
          <a:off x="4764699" y="5243146"/>
          <a:ext cx="1258032" cy="1494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171445</xdr:colOff>
      <xdr:row>187</xdr:row>
      <xdr:rowOff>9536</xdr:rowOff>
    </xdr:from>
    <xdr:to>
      <xdr:col>13</xdr:col>
      <xdr:colOff>152405</xdr:colOff>
      <xdr:row>191</xdr:row>
      <xdr:rowOff>38111</xdr:rowOff>
    </xdr:to>
    <xdr:grpSp>
      <xdr:nvGrpSpPr>
        <xdr:cNvPr id="54662" name="Group 1">
          <a:extLst>
            <a:ext uri="{FF2B5EF4-FFF2-40B4-BE49-F238E27FC236}">
              <a16:creationId xmlns:a16="http://schemas.microsoft.com/office/drawing/2014/main" id="{00000000-0008-0000-0B00-000086D50000}"/>
            </a:ext>
          </a:extLst>
        </xdr:cNvPr>
        <xdr:cNvGrpSpPr>
          <a:grpSpLocks/>
        </xdr:cNvGrpSpPr>
      </xdr:nvGrpSpPr>
      <xdr:grpSpPr bwMode="auto">
        <a:xfrm>
          <a:off x="3550749" y="31960527"/>
          <a:ext cx="994752" cy="790575"/>
          <a:chOff x="3409969" y="26355475"/>
          <a:chExt cx="952486" cy="1029913"/>
        </a:xfrm>
      </xdr:grpSpPr>
      <xdr:grpSp>
        <xdr:nvGrpSpPr>
          <xdr:cNvPr id="54663" name="Group 67">
            <a:extLst>
              <a:ext uri="{FF2B5EF4-FFF2-40B4-BE49-F238E27FC236}">
                <a16:creationId xmlns:a16="http://schemas.microsoft.com/office/drawing/2014/main" id="{00000000-0008-0000-0B00-000087D50000}"/>
              </a:ext>
            </a:extLst>
          </xdr:cNvPr>
          <xdr:cNvGrpSpPr>
            <a:grpSpLocks/>
          </xdr:cNvGrpSpPr>
        </xdr:nvGrpSpPr>
        <xdr:grpSpPr bwMode="auto">
          <a:xfrm rot="-5400000">
            <a:off x="3715466" y="26049978"/>
            <a:ext cx="331957" cy="942951"/>
            <a:chOff x="1716119" y="21536026"/>
            <a:chExt cx="331957" cy="952475"/>
          </a:xfrm>
        </xdr:grpSpPr>
        <xdr:sp macro="" textlink="">
          <xdr:nvSpPr>
            <xdr:cNvPr id="97" name="Arc 96">
              <a:extLst>
                <a:ext uri="{FF2B5EF4-FFF2-40B4-BE49-F238E27FC236}">
                  <a16:creationId xmlns:a16="http://schemas.microsoft.com/office/drawing/2014/main" id="{00000000-0008-0000-0B00-000061000000}"/>
                </a:ext>
              </a:extLst>
            </xdr:cNvPr>
            <xdr:cNvSpPr/>
          </xdr:nvSpPr>
          <xdr:spPr bwMode="auto">
            <a:xfrm rot="16200000">
              <a:off x="1761836" y="22210772"/>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6" name="Arc 105">
              <a:extLst>
                <a:ext uri="{FF2B5EF4-FFF2-40B4-BE49-F238E27FC236}">
                  <a16:creationId xmlns:a16="http://schemas.microsoft.com/office/drawing/2014/main" id="{00000000-0008-0000-0B00-00006A000000}"/>
                </a:ext>
              </a:extLst>
            </xdr:cNvPr>
            <xdr:cNvSpPr/>
          </xdr:nvSpPr>
          <xdr:spPr bwMode="auto">
            <a:xfrm rot="16200000">
              <a:off x="1766646"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7" name="Arc 106">
              <a:extLst>
                <a:ext uri="{FF2B5EF4-FFF2-40B4-BE49-F238E27FC236}">
                  <a16:creationId xmlns:a16="http://schemas.microsoft.com/office/drawing/2014/main" id="{00000000-0008-0000-0B00-00006B000000}"/>
                </a:ext>
              </a:extLst>
            </xdr:cNvPr>
            <xdr:cNvSpPr/>
          </xdr:nvSpPr>
          <xdr:spPr bwMode="auto">
            <a:xfrm rot="16200000">
              <a:off x="1757580" y="21735089"/>
              <a:ext cx="240524" cy="323445"/>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8" name="Arc 107">
              <a:extLst>
                <a:ext uri="{FF2B5EF4-FFF2-40B4-BE49-F238E27FC236}">
                  <a16:creationId xmlns:a16="http://schemas.microsoft.com/office/drawing/2014/main" id="{00000000-0008-0000-0B00-00006C000000}"/>
                </a:ext>
              </a:extLst>
            </xdr:cNvPr>
            <xdr:cNvSpPr/>
          </xdr:nvSpPr>
          <xdr:spPr bwMode="auto">
            <a:xfrm rot="16200000">
              <a:off x="1770348" y="21498821"/>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54664" name="Group 67">
            <a:extLst>
              <a:ext uri="{FF2B5EF4-FFF2-40B4-BE49-F238E27FC236}">
                <a16:creationId xmlns:a16="http://schemas.microsoft.com/office/drawing/2014/main" id="{00000000-0008-0000-0B00-000088D50000}"/>
              </a:ext>
            </a:extLst>
          </xdr:cNvPr>
          <xdr:cNvGrpSpPr>
            <a:grpSpLocks/>
          </xdr:cNvGrpSpPr>
        </xdr:nvGrpSpPr>
        <xdr:grpSpPr bwMode="auto">
          <a:xfrm rot="5400000">
            <a:off x="3725002" y="26747936"/>
            <a:ext cx="331955" cy="942950"/>
            <a:chOff x="1564532" y="21536002"/>
            <a:chExt cx="331955" cy="952474"/>
          </a:xfrm>
        </xdr:grpSpPr>
        <xdr:sp macro="" textlink="">
          <xdr:nvSpPr>
            <xdr:cNvPr id="85" name="Arc 84">
              <a:extLst>
                <a:ext uri="{FF2B5EF4-FFF2-40B4-BE49-F238E27FC236}">
                  <a16:creationId xmlns:a16="http://schemas.microsoft.com/office/drawing/2014/main" id="{00000000-0008-0000-0B00-000055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6" name="Arc 85">
              <a:extLst>
                <a:ext uri="{FF2B5EF4-FFF2-40B4-BE49-F238E27FC236}">
                  <a16:creationId xmlns:a16="http://schemas.microsoft.com/office/drawing/2014/main" id="{00000000-0008-0000-0B00-000056000000}"/>
                </a:ext>
              </a:extLst>
            </xdr:cNvPr>
            <xdr:cNvSpPr/>
          </xdr:nvSpPr>
          <xdr:spPr bwMode="auto">
            <a:xfrm rot="16200000">
              <a:off x="1615059" y="21984655"/>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5" name="Arc 94">
              <a:extLst>
                <a:ext uri="{FF2B5EF4-FFF2-40B4-BE49-F238E27FC236}">
                  <a16:creationId xmlns:a16="http://schemas.microsoft.com/office/drawing/2014/main" id="{00000000-0008-0000-0B00-00005F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6" name="Arc 95">
              <a:extLst>
                <a:ext uri="{FF2B5EF4-FFF2-40B4-BE49-F238E27FC236}">
                  <a16:creationId xmlns:a16="http://schemas.microsoft.com/office/drawing/2014/main" id="{00000000-0008-0000-0B00-000060000000}"/>
                </a:ext>
              </a:extLst>
            </xdr:cNvPr>
            <xdr:cNvSpPr/>
          </xdr:nvSpPr>
          <xdr:spPr bwMode="auto">
            <a:xfrm rot="16200000">
              <a:off x="1601736" y="2149879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5</xdr:col>
      <xdr:colOff>171450</xdr:colOff>
      <xdr:row>212</xdr:row>
      <xdr:rowOff>161925</xdr:rowOff>
    </xdr:from>
    <xdr:to>
      <xdr:col>8</xdr:col>
      <xdr:colOff>152545</xdr:colOff>
      <xdr:row>218</xdr:row>
      <xdr:rowOff>38117</xdr:rowOff>
    </xdr:to>
    <xdr:grpSp>
      <xdr:nvGrpSpPr>
        <xdr:cNvPr id="13" name="Group 1">
          <a:extLst>
            <a:ext uri="{FF2B5EF4-FFF2-40B4-BE49-F238E27FC236}">
              <a16:creationId xmlns:a16="http://schemas.microsoft.com/office/drawing/2014/main" id="{00000000-0008-0000-0B00-00000D000000}"/>
            </a:ext>
          </a:extLst>
        </xdr:cNvPr>
        <xdr:cNvGrpSpPr>
          <a:grpSpLocks/>
        </xdr:cNvGrpSpPr>
      </xdr:nvGrpSpPr>
      <xdr:grpSpPr bwMode="auto">
        <a:xfrm>
          <a:off x="1861102" y="36419873"/>
          <a:ext cx="994886" cy="909861"/>
          <a:chOff x="3409976" y="26491671"/>
          <a:chExt cx="952614" cy="893738"/>
        </a:xfrm>
      </xdr:grpSpPr>
      <xdr:grpSp>
        <xdr:nvGrpSpPr>
          <xdr:cNvPr id="14" name="Group 67">
            <a:extLst>
              <a:ext uri="{FF2B5EF4-FFF2-40B4-BE49-F238E27FC236}">
                <a16:creationId xmlns:a16="http://schemas.microsoft.com/office/drawing/2014/main" id="{00000000-0008-0000-0B00-00000E000000}"/>
              </a:ext>
            </a:extLst>
          </xdr:cNvPr>
          <xdr:cNvGrpSpPr>
            <a:grpSpLocks/>
          </xdr:cNvGrpSpPr>
        </xdr:nvGrpSpPr>
        <xdr:grpSpPr bwMode="auto">
          <a:xfrm rot="-5400000">
            <a:off x="3715471" y="26186176"/>
            <a:ext cx="331959" cy="942949"/>
            <a:chOff x="1579927" y="21536029"/>
            <a:chExt cx="331959" cy="952473"/>
          </a:xfrm>
        </xdr:grpSpPr>
        <xdr:sp macro="" textlink="">
          <xdr:nvSpPr>
            <xdr:cNvPr id="20" name="Arc 19">
              <a:extLst>
                <a:ext uri="{FF2B5EF4-FFF2-40B4-BE49-F238E27FC236}">
                  <a16:creationId xmlns:a16="http://schemas.microsoft.com/office/drawing/2014/main" id="{00000000-0008-0000-0B00-000014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1" name="Arc 20">
              <a:extLst>
                <a:ext uri="{FF2B5EF4-FFF2-40B4-BE49-F238E27FC236}">
                  <a16:creationId xmlns:a16="http://schemas.microsoft.com/office/drawing/2014/main" id="{00000000-0008-0000-0B00-000015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2" name="Arc 21">
              <a:extLst>
                <a:ext uri="{FF2B5EF4-FFF2-40B4-BE49-F238E27FC236}">
                  <a16:creationId xmlns:a16="http://schemas.microsoft.com/office/drawing/2014/main" id="{00000000-0008-0000-0B00-000016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3" name="Arc 22">
              <a:extLst>
                <a:ext uri="{FF2B5EF4-FFF2-40B4-BE49-F238E27FC236}">
                  <a16:creationId xmlns:a16="http://schemas.microsoft.com/office/drawing/2014/main" id="{00000000-0008-0000-0B00-000017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15" name="Group 67">
            <a:extLst>
              <a:ext uri="{FF2B5EF4-FFF2-40B4-BE49-F238E27FC236}">
                <a16:creationId xmlns:a16="http://schemas.microsoft.com/office/drawing/2014/main" id="{00000000-0008-0000-0B00-00000F000000}"/>
              </a:ext>
            </a:extLst>
          </xdr:cNvPr>
          <xdr:cNvGrpSpPr>
            <a:grpSpLocks/>
          </xdr:cNvGrpSpPr>
        </xdr:nvGrpSpPr>
        <xdr:grpSpPr bwMode="auto">
          <a:xfrm rot="5400000">
            <a:off x="3725140" y="26747959"/>
            <a:ext cx="331955" cy="942945"/>
            <a:chOff x="1564532" y="21536001"/>
            <a:chExt cx="331955" cy="952475"/>
          </a:xfrm>
        </xdr:grpSpPr>
        <xdr:sp macro="" textlink="">
          <xdr:nvSpPr>
            <xdr:cNvPr id="16" name="Arc 15">
              <a:extLst>
                <a:ext uri="{FF2B5EF4-FFF2-40B4-BE49-F238E27FC236}">
                  <a16:creationId xmlns:a16="http://schemas.microsoft.com/office/drawing/2014/main" id="{00000000-0008-0000-0B00-000010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7" name="Arc 16">
              <a:extLst>
                <a:ext uri="{FF2B5EF4-FFF2-40B4-BE49-F238E27FC236}">
                  <a16:creationId xmlns:a16="http://schemas.microsoft.com/office/drawing/2014/main" id="{00000000-0008-0000-0B00-000011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8" name="Arc 17">
              <a:extLst>
                <a:ext uri="{FF2B5EF4-FFF2-40B4-BE49-F238E27FC236}">
                  <a16:creationId xmlns:a16="http://schemas.microsoft.com/office/drawing/2014/main" id="{00000000-0008-0000-0B00-000012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9" name="Arc 18">
              <a:extLst>
                <a:ext uri="{FF2B5EF4-FFF2-40B4-BE49-F238E27FC236}">
                  <a16:creationId xmlns:a16="http://schemas.microsoft.com/office/drawing/2014/main" id="{00000000-0008-0000-0B00-000013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20</xdr:col>
      <xdr:colOff>171450</xdr:colOff>
      <xdr:row>212</xdr:row>
      <xdr:rowOff>161925</xdr:rowOff>
    </xdr:from>
    <xdr:to>
      <xdr:col>23</xdr:col>
      <xdr:colOff>152545</xdr:colOff>
      <xdr:row>218</xdr:row>
      <xdr:rowOff>38117</xdr:rowOff>
    </xdr:to>
    <xdr:grpSp>
      <xdr:nvGrpSpPr>
        <xdr:cNvPr id="24" name="Group 1">
          <a:extLst>
            <a:ext uri="{FF2B5EF4-FFF2-40B4-BE49-F238E27FC236}">
              <a16:creationId xmlns:a16="http://schemas.microsoft.com/office/drawing/2014/main" id="{00000000-0008-0000-0B00-000018000000}"/>
            </a:ext>
          </a:extLst>
        </xdr:cNvPr>
        <xdr:cNvGrpSpPr>
          <a:grpSpLocks/>
        </xdr:cNvGrpSpPr>
      </xdr:nvGrpSpPr>
      <xdr:grpSpPr bwMode="auto">
        <a:xfrm>
          <a:off x="7069207" y="36419873"/>
          <a:ext cx="1213547" cy="909861"/>
          <a:chOff x="3409976" y="26491671"/>
          <a:chExt cx="952614" cy="893738"/>
        </a:xfrm>
      </xdr:grpSpPr>
      <xdr:grpSp>
        <xdr:nvGrpSpPr>
          <xdr:cNvPr id="25" name="Group 67">
            <a:extLst>
              <a:ext uri="{FF2B5EF4-FFF2-40B4-BE49-F238E27FC236}">
                <a16:creationId xmlns:a16="http://schemas.microsoft.com/office/drawing/2014/main" id="{00000000-0008-0000-0B00-000019000000}"/>
              </a:ext>
            </a:extLst>
          </xdr:cNvPr>
          <xdr:cNvGrpSpPr>
            <a:grpSpLocks/>
          </xdr:cNvGrpSpPr>
        </xdr:nvGrpSpPr>
        <xdr:grpSpPr bwMode="auto">
          <a:xfrm rot="-5400000">
            <a:off x="3715471" y="26186176"/>
            <a:ext cx="331959" cy="942949"/>
            <a:chOff x="1579927" y="21536029"/>
            <a:chExt cx="331959" cy="952473"/>
          </a:xfrm>
        </xdr:grpSpPr>
        <xdr:sp macro="" textlink="">
          <xdr:nvSpPr>
            <xdr:cNvPr id="31" name="Arc 30">
              <a:extLst>
                <a:ext uri="{FF2B5EF4-FFF2-40B4-BE49-F238E27FC236}">
                  <a16:creationId xmlns:a16="http://schemas.microsoft.com/office/drawing/2014/main" id="{00000000-0008-0000-0B00-00001F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2" name="Arc 31">
              <a:extLst>
                <a:ext uri="{FF2B5EF4-FFF2-40B4-BE49-F238E27FC236}">
                  <a16:creationId xmlns:a16="http://schemas.microsoft.com/office/drawing/2014/main" id="{00000000-0008-0000-0B00-000020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3" name="Arc 32">
              <a:extLst>
                <a:ext uri="{FF2B5EF4-FFF2-40B4-BE49-F238E27FC236}">
                  <a16:creationId xmlns:a16="http://schemas.microsoft.com/office/drawing/2014/main" id="{00000000-0008-0000-0B00-000021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4" name="Arc 33">
              <a:extLst>
                <a:ext uri="{FF2B5EF4-FFF2-40B4-BE49-F238E27FC236}">
                  <a16:creationId xmlns:a16="http://schemas.microsoft.com/office/drawing/2014/main" id="{00000000-0008-0000-0B00-000022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26" name="Group 67">
            <a:extLst>
              <a:ext uri="{FF2B5EF4-FFF2-40B4-BE49-F238E27FC236}">
                <a16:creationId xmlns:a16="http://schemas.microsoft.com/office/drawing/2014/main" id="{00000000-0008-0000-0B00-00001A000000}"/>
              </a:ext>
            </a:extLst>
          </xdr:cNvPr>
          <xdr:cNvGrpSpPr>
            <a:grpSpLocks/>
          </xdr:cNvGrpSpPr>
        </xdr:nvGrpSpPr>
        <xdr:grpSpPr bwMode="auto">
          <a:xfrm rot="5400000">
            <a:off x="3725140" y="26747959"/>
            <a:ext cx="331955" cy="942945"/>
            <a:chOff x="1564532" y="21536001"/>
            <a:chExt cx="331955" cy="952475"/>
          </a:xfrm>
        </xdr:grpSpPr>
        <xdr:sp macro="" textlink="">
          <xdr:nvSpPr>
            <xdr:cNvPr id="27" name="Arc 26">
              <a:extLst>
                <a:ext uri="{FF2B5EF4-FFF2-40B4-BE49-F238E27FC236}">
                  <a16:creationId xmlns:a16="http://schemas.microsoft.com/office/drawing/2014/main" id="{00000000-0008-0000-0B00-00001B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8" name="Arc 27">
              <a:extLst>
                <a:ext uri="{FF2B5EF4-FFF2-40B4-BE49-F238E27FC236}">
                  <a16:creationId xmlns:a16="http://schemas.microsoft.com/office/drawing/2014/main" id="{00000000-0008-0000-0B00-00001C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9" name="Arc 28">
              <a:extLst>
                <a:ext uri="{FF2B5EF4-FFF2-40B4-BE49-F238E27FC236}">
                  <a16:creationId xmlns:a16="http://schemas.microsoft.com/office/drawing/2014/main" id="{00000000-0008-0000-0B00-00001D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0" name="Arc 29">
              <a:extLst>
                <a:ext uri="{FF2B5EF4-FFF2-40B4-BE49-F238E27FC236}">
                  <a16:creationId xmlns:a16="http://schemas.microsoft.com/office/drawing/2014/main" id="{00000000-0008-0000-0B00-00001E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6</xdr:col>
      <xdr:colOff>171450</xdr:colOff>
      <xdr:row>295</xdr:row>
      <xdr:rowOff>0</xdr:rowOff>
    </xdr:from>
    <xdr:to>
      <xdr:col>9</xdr:col>
      <xdr:colOff>152545</xdr:colOff>
      <xdr:row>300</xdr:row>
      <xdr:rowOff>47642</xdr:rowOff>
    </xdr:to>
    <xdr:grpSp>
      <xdr:nvGrpSpPr>
        <xdr:cNvPr id="35" name="Group 1">
          <a:extLst>
            <a:ext uri="{FF2B5EF4-FFF2-40B4-BE49-F238E27FC236}">
              <a16:creationId xmlns:a16="http://schemas.microsoft.com/office/drawing/2014/main" id="{00000000-0008-0000-0B00-000023000000}"/>
            </a:ext>
          </a:extLst>
        </xdr:cNvPr>
        <xdr:cNvGrpSpPr>
          <a:grpSpLocks/>
        </xdr:cNvGrpSpPr>
      </xdr:nvGrpSpPr>
      <xdr:grpSpPr bwMode="auto">
        <a:xfrm>
          <a:off x="2199033" y="50338383"/>
          <a:ext cx="994886" cy="909033"/>
          <a:chOff x="3409976" y="26491671"/>
          <a:chExt cx="952614" cy="893738"/>
        </a:xfrm>
      </xdr:grpSpPr>
      <xdr:grpSp>
        <xdr:nvGrpSpPr>
          <xdr:cNvPr id="36" name="Group 67">
            <a:extLst>
              <a:ext uri="{FF2B5EF4-FFF2-40B4-BE49-F238E27FC236}">
                <a16:creationId xmlns:a16="http://schemas.microsoft.com/office/drawing/2014/main" id="{00000000-0008-0000-0B00-000024000000}"/>
              </a:ext>
            </a:extLst>
          </xdr:cNvPr>
          <xdr:cNvGrpSpPr>
            <a:grpSpLocks/>
          </xdr:cNvGrpSpPr>
        </xdr:nvGrpSpPr>
        <xdr:grpSpPr bwMode="auto">
          <a:xfrm rot="-5400000">
            <a:off x="3715471" y="26186176"/>
            <a:ext cx="331959" cy="942949"/>
            <a:chOff x="1579927" y="21536029"/>
            <a:chExt cx="331959" cy="952473"/>
          </a:xfrm>
        </xdr:grpSpPr>
        <xdr:sp macro="" textlink="">
          <xdr:nvSpPr>
            <xdr:cNvPr id="42" name="Arc 41">
              <a:extLst>
                <a:ext uri="{FF2B5EF4-FFF2-40B4-BE49-F238E27FC236}">
                  <a16:creationId xmlns:a16="http://schemas.microsoft.com/office/drawing/2014/main" id="{00000000-0008-0000-0B00-00002A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3" name="Arc 42">
              <a:extLst>
                <a:ext uri="{FF2B5EF4-FFF2-40B4-BE49-F238E27FC236}">
                  <a16:creationId xmlns:a16="http://schemas.microsoft.com/office/drawing/2014/main" id="{00000000-0008-0000-0B00-00002B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4" name="Arc 43">
              <a:extLst>
                <a:ext uri="{FF2B5EF4-FFF2-40B4-BE49-F238E27FC236}">
                  <a16:creationId xmlns:a16="http://schemas.microsoft.com/office/drawing/2014/main" id="{00000000-0008-0000-0B00-00002C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5" name="Arc 44">
              <a:extLst>
                <a:ext uri="{FF2B5EF4-FFF2-40B4-BE49-F238E27FC236}">
                  <a16:creationId xmlns:a16="http://schemas.microsoft.com/office/drawing/2014/main" id="{00000000-0008-0000-0B00-00002D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37" name="Group 67">
            <a:extLst>
              <a:ext uri="{FF2B5EF4-FFF2-40B4-BE49-F238E27FC236}">
                <a16:creationId xmlns:a16="http://schemas.microsoft.com/office/drawing/2014/main" id="{00000000-0008-0000-0B00-000025000000}"/>
              </a:ext>
            </a:extLst>
          </xdr:cNvPr>
          <xdr:cNvGrpSpPr>
            <a:grpSpLocks/>
          </xdr:cNvGrpSpPr>
        </xdr:nvGrpSpPr>
        <xdr:grpSpPr bwMode="auto">
          <a:xfrm rot="5400000">
            <a:off x="3725140" y="26747959"/>
            <a:ext cx="331955" cy="942945"/>
            <a:chOff x="1564532" y="21536001"/>
            <a:chExt cx="331955" cy="952475"/>
          </a:xfrm>
        </xdr:grpSpPr>
        <xdr:sp macro="" textlink="">
          <xdr:nvSpPr>
            <xdr:cNvPr id="38" name="Arc 37">
              <a:extLst>
                <a:ext uri="{FF2B5EF4-FFF2-40B4-BE49-F238E27FC236}">
                  <a16:creationId xmlns:a16="http://schemas.microsoft.com/office/drawing/2014/main" id="{00000000-0008-0000-0B00-000026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9" name="Arc 38">
              <a:extLst>
                <a:ext uri="{FF2B5EF4-FFF2-40B4-BE49-F238E27FC236}">
                  <a16:creationId xmlns:a16="http://schemas.microsoft.com/office/drawing/2014/main" id="{00000000-0008-0000-0B00-000027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0" name="Arc 39">
              <a:extLst>
                <a:ext uri="{FF2B5EF4-FFF2-40B4-BE49-F238E27FC236}">
                  <a16:creationId xmlns:a16="http://schemas.microsoft.com/office/drawing/2014/main" id="{00000000-0008-0000-0B00-000028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1" name="Arc 40">
              <a:extLst>
                <a:ext uri="{FF2B5EF4-FFF2-40B4-BE49-F238E27FC236}">
                  <a16:creationId xmlns:a16="http://schemas.microsoft.com/office/drawing/2014/main" id="{00000000-0008-0000-0B00-000029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11</xdr:col>
      <xdr:colOff>171450</xdr:colOff>
      <xdr:row>294</xdr:row>
      <xdr:rowOff>161925</xdr:rowOff>
    </xdr:from>
    <xdr:to>
      <xdr:col>14</xdr:col>
      <xdr:colOff>152545</xdr:colOff>
      <xdr:row>300</xdr:row>
      <xdr:rowOff>38117</xdr:rowOff>
    </xdr:to>
    <xdr:grpSp>
      <xdr:nvGrpSpPr>
        <xdr:cNvPr id="46" name="Group 1">
          <a:extLst>
            <a:ext uri="{FF2B5EF4-FFF2-40B4-BE49-F238E27FC236}">
              <a16:creationId xmlns:a16="http://schemas.microsoft.com/office/drawing/2014/main" id="{00000000-0008-0000-0B00-00002E000000}"/>
            </a:ext>
          </a:extLst>
        </xdr:cNvPr>
        <xdr:cNvGrpSpPr>
          <a:grpSpLocks/>
        </xdr:cNvGrpSpPr>
      </xdr:nvGrpSpPr>
      <xdr:grpSpPr bwMode="auto">
        <a:xfrm>
          <a:off x="3888685" y="50328029"/>
          <a:ext cx="994886" cy="909862"/>
          <a:chOff x="3409976" y="26491671"/>
          <a:chExt cx="952614" cy="893738"/>
        </a:xfrm>
      </xdr:grpSpPr>
      <xdr:grpSp>
        <xdr:nvGrpSpPr>
          <xdr:cNvPr id="47" name="Group 67">
            <a:extLst>
              <a:ext uri="{FF2B5EF4-FFF2-40B4-BE49-F238E27FC236}">
                <a16:creationId xmlns:a16="http://schemas.microsoft.com/office/drawing/2014/main" id="{00000000-0008-0000-0B00-00002F000000}"/>
              </a:ext>
            </a:extLst>
          </xdr:cNvPr>
          <xdr:cNvGrpSpPr>
            <a:grpSpLocks/>
          </xdr:cNvGrpSpPr>
        </xdr:nvGrpSpPr>
        <xdr:grpSpPr bwMode="auto">
          <a:xfrm rot="-5400000">
            <a:off x="3715471" y="26186176"/>
            <a:ext cx="331959" cy="942949"/>
            <a:chOff x="1579927" y="21536029"/>
            <a:chExt cx="331959" cy="952473"/>
          </a:xfrm>
        </xdr:grpSpPr>
        <xdr:sp macro="" textlink="">
          <xdr:nvSpPr>
            <xdr:cNvPr id="53" name="Arc 52">
              <a:extLst>
                <a:ext uri="{FF2B5EF4-FFF2-40B4-BE49-F238E27FC236}">
                  <a16:creationId xmlns:a16="http://schemas.microsoft.com/office/drawing/2014/main" id="{00000000-0008-0000-0B00-000035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4" name="Arc 53">
              <a:extLst>
                <a:ext uri="{FF2B5EF4-FFF2-40B4-BE49-F238E27FC236}">
                  <a16:creationId xmlns:a16="http://schemas.microsoft.com/office/drawing/2014/main" id="{00000000-0008-0000-0B00-000036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5" name="Arc 54">
              <a:extLst>
                <a:ext uri="{FF2B5EF4-FFF2-40B4-BE49-F238E27FC236}">
                  <a16:creationId xmlns:a16="http://schemas.microsoft.com/office/drawing/2014/main" id="{00000000-0008-0000-0B00-000037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6" name="Arc 55">
              <a:extLst>
                <a:ext uri="{FF2B5EF4-FFF2-40B4-BE49-F238E27FC236}">
                  <a16:creationId xmlns:a16="http://schemas.microsoft.com/office/drawing/2014/main" id="{00000000-0008-0000-0B00-000038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48" name="Group 67">
            <a:extLst>
              <a:ext uri="{FF2B5EF4-FFF2-40B4-BE49-F238E27FC236}">
                <a16:creationId xmlns:a16="http://schemas.microsoft.com/office/drawing/2014/main" id="{00000000-0008-0000-0B00-000030000000}"/>
              </a:ext>
            </a:extLst>
          </xdr:cNvPr>
          <xdr:cNvGrpSpPr>
            <a:grpSpLocks/>
          </xdr:cNvGrpSpPr>
        </xdr:nvGrpSpPr>
        <xdr:grpSpPr bwMode="auto">
          <a:xfrm rot="5400000">
            <a:off x="3725140" y="26747959"/>
            <a:ext cx="331955" cy="942945"/>
            <a:chOff x="1564532" y="21536001"/>
            <a:chExt cx="331955" cy="952475"/>
          </a:xfrm>
        </xdr:grpSpPr>
        <xdr:sp macro="" textlink="">
          <xdr:nvSpPr>
            <xdr:cNvPr id="49" name="Arc 48">
              <a:extLst>
                <a:ext uri="{FF2B5EF4-FFF2-40B4-BE49-F238E27FC236}">
                  <a16:creationId xmlns:a16="http://schemas.microsoft.com/office/drawing/2014/main" id="{00000000-0008-0000-0B00-000031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0" name="Arc 49">
              <a:extLst>
                <a:ext uri="{FF2B5EF4-FFF2-40B4-BE49-F238E27FC236}">
                  <a16:creationId xmlns:a16="http://schemas.microsoft.com/office/drawing/2014/main" id="{00000000-0008-0000-0B00-000032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1" name="Arc 50">
              <a:extLst>
                <a:ext uri="{FF2B5EF4-FFF2-40B4-BE49-F238E27FC236}">
                  <a16:creationId xmlns:a16="http://schemas.microsoft.com/office/drawing/2014/main" id="{00000000-0008-0000-0B00-000033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2" name="Arc 51">
              <a:extLst>
                <a:ext uri="{FF2B5EF4-FFF2-40B4-BE49-F238E27FC236}">
                  <a16:creationId xmlns:a16="http://schemas.microsoft.com/office/drawing/2014/main" id="{00000000-0008-0000-0B00-000034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6</xdr:col>
      <xdr:colOff>171450</xdr:colOff>
      <xdr:row>273</xdr:row>
      <xdr:rowOff>152400</xdr:rowOff>
    </xdr:from>
    <xdr:to>
      <xdr:col>9</xdr:col>
      <xdr:colOff>152545</xdr:colOff>
      <xdr:row>279</xdr:row>
      <xdr:rowOff>28592</xdr:rowOff>
    </xdr:to>
    <xdr:grpSp>
      <xdr:nvGrpSpPr>
        <xdr:cNvPr id="57" name="Group 1">
          <a:extLst>
            <a:ext uri="{FF2B5EF4-FFF2-40B4-BE49-F238E27FC236}">
              <a16:creationId xmlns:a16="http://schemas.microsoft.com/office/drawing/2014/main" id="{00000000-0008-0000-0B00-000039000000}"/>
            </a:ext>
          </a:extLst>
        </xdr:cNvPr>
        <xdr:cNvGrpSpPr>
          <a:grpSpLocks/>
        </xdr:cNvGrpSpPr>
      </xdr:nvGrpSpPr>
      <xdr:grpSpPr bwMode="auto">
        <a:xfrm>
          <a:off x="2199033" y="46753670"/>
          <a:ext cx="994886" cy="870105"/>
          <a:chOff x="3409976" y="26491671"/>
          <a:chExt cx="952614" cy="893738"/>
        </a:xfrm>
      </xdr:grpSpPr>
      <xdr:grpSp>
        <xdr:nvGrpSpPr>
          <xdr:cNvPr id="58" name="Group 67">
            <a:extLst>
              <a:ext uri="{FF2B5EF4-FFF2-40B4-BE49-F238E27FC236}">
                <a16:creationId xmlns:a16="http://schemas.microsoft.com/office/drawing/2014/main" id="{00000000-0008-0000-0B00-00003A000000}"/>
              </a:ext>
            </a:extLst>
          </xdr:cNvPr>
          <xdr:cNvGrpSpPr>
            <a:grpSpLocks/>
          </xdr:cNvGrpSpPr>
        </xdr:nvGrpSpPr>
        <xdr:grpSpPr bwMode="auto">
          <a:xfrm rot="-5400000">
            <a:off x="3715471" y="26186176"/>
            <a:ext cx="331959" cy="942949"/>
            <a:chOff x="1579927" y="21536029"/>
            <a:chExt cx="331959" cy="952473"/>
          </a:xfrm>
        </xdr:grpSpPr>
        <xdr:sp macro="" textlink="">
          <xdr:nvSpPr>
            <xdr:cNvPr id="64" name="Arc 63">
              <a:extLst>
                <a:ext uri="{FF2B5EF4-FFF2-40B4-BE49-F238E27FC236}">
                  <a16:creationId xmlns:a16="http://schemas.microsoft.com/office/drawing/2014/main" id="{00000000-0008-0000-0B00-000040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5" name="Arc 64">
              <a:extLst>
                <a:ext uri="{FF2B5EF4-FFF2-40B4-BE49-F238E27FC236}">
                  <a16:creationId xmlns:a16="http://schemas.microsoft.com/office/drawing/2014/main" id="{00000000-0008-0000-0B00-000041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6" name="Arc 65">
              <a:extLst>
                <a:ext uri="{FF2B5EF4-FFF2-40B4-BE49-F238E27FC236}">
                  <a16:creationId xmlns:a16="http://schemas.microsoft.com/office/drawing/2014/main" id="{00000000-0008-0000-0B00-000042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7" name="Arc 66">
              <a:extLst>
                <a:ext uri="{FF2B5EF4-FFF2-40B4-BE49-F238E27FC236}">
                  <a16:creationId xmlns:a16="http://schemas.microsoft.com/office/drawing/2014/main" id="{00000000-0008-0000-0B00-000043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59" name="Group 67">
            <a:extLst>
              <a:ext uri="{FF2B5EF4-FFF2-40B4-BE49-F238E27FC236}">
                <a16:creationId xmlns:a16="http://schemas.microsoft.com/office/drawing/2014/main" id="{00000000-0008-0000-0B00-00003B000000}"/>
              </a:ext>
            </a:extLst>
          </xdr:cNvPr>
          <xdr:cNvGrpSpPr>
            <a:grpSpLocks/>
          </xdr:cNvGrpSpPr>
        </xdr:nvGrpSpPr>
        <xdr:grpSpPr bwMode="auto">
          <a:xfrm rot="5400000">
            <a:off x="3725140" y="26747959"/>
            <a:ext cx="331955" cy="942945"/>
            <a:chOff x="1564532" y="21536001"/>
            <a:chExt cx="331955" cy="952475"/>
          </a:xfrm>
        </xdr:grpSpPr>
        <xdr:sp macro="" textlink="">
          <xdr:nvSpPr>
            <xdr:cNvPr id="60" name="Arc 59">
              <a:extLst>
                <a:ext uri="{FF2B5EF4-FFF2-40B4-BE49-F238E27FC236}">
                  <a16:creationId xmlns:a16="http://schemas.microsoft.com/office/drawing/2014/main" id="{00000000-0008-0000-0B00-00003C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1" name="Arc 60">
              <a:extLst>
                <a:ext uri="{FF2B5EF4-FFF2-40B4-BE49-F238E27FC236}">
                  <a16:creationId xmlns:a16="http://schemas.microsoft.com/office/drawing/2014/main" id="{00000000-0008-0000-0B00-00003D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2" name="Arc 61">
              <a:extLst>
                <a:ext uri="{FF2B5EF4-FFF2-40B4-BE49-F238E27FC236}">
                  <a16:creationId xmlns:a16="http://schemas.microsoft.com/office/drawing/2014/main" id="{00000000-0008-0000-0B00-00003E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3" name="Arc 62">
              <a:extLst>
                <a:ext uri="{FF2B5EF4-FFF2-40B4-BE49-F238E27FC236}">
                  <a16:creationId xmlns:a16="http://schemas.microsoft.com/office/drawing/2014/main" id="{00000000-0008-0000-0B00-00003F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11</xdr:col>
      <xdr:colOff>171450</xdr:colOff>
      <xdr:row>273</xdr:row>
      <xdr:rowOff>161925</xdr:rowOff>
    </xdr:from>
    <xdr:to>
      <xdr:col>14</xdr:col>
      <xdr:colOff>152545</xdr:colOff>
      <xdr:row>279</xdr:row>
      <xdr:rowOff>38117</xdr:rowOff>
    </xdr:to>
    <xdr:grpSp>
      <xdr:nvGrpSpPr>
        <xdr:cNvPr id="68" name="Group 1">
          <a:extLst>
            <a:ext uri="{FF2B5EF4-FFF2-40B4-BE49-F238E27FC236}">
              <a16:creationId xmlns:a16="http://schemas.microsoft.com/office/drawing/2014/main" id="{00000000-0008-0000-0B00-000044000000}"/>
            </a:ext>
          </a:extLst>
        </xdr:cNvPr>
        <xdr:cNvGrpSpPr>
          <a:grpSpLocks/>
        </xdr:cNvGrpSpPr>
      </xdr:nvGrpSpPr>
      <xdr:grpSpPr bwMode="auto">
        <a:xfrm>
          <a:off x="3888685" y="46763195"/>
          <a:ext cx="994886" cy="870105"/>
          <a:chOff x="3409976" y="26491671"/>
          <a:chExt cx="952614" cy="893738"/>
        </a:xfrm>
      </xdr:grpSpPr>
      <xdr:grpSp>
        <xdr:nvGrpSpPr>
          <xdr:cNvPr id="69" name="Group 67">
            <a:extLst>
              <a:ext uri="{FF2B5EF4-FFF2-40B4-BE49-F238E27FC236}">
                <a16:creationId xmlns:a16="http://schemas.microsoft.com/office/drawing/2014/main" id="{00000000-0008-0000-0B00-000045000000}"/>
              </a:ext>
            </a:extLst>
          </xdr:cNvPr>
          <xdr:cNvGrpSpPr>
            <a:grpSpLocks/>
          </xdr:cNvGrpSpPr>
        </xdr:nvGrpSpPr>
        <xdr:grpSpPr bwMode="auto">
          <a:xfrm rot="-5400000">
            <a:off x="3715471" y="26186176"/>
            <a:ext cx="331959" cy="942949"/>
            <a:chOff x="1579927" y="21536029"/>
            <a:chExt cx="331959" cy="952473"/>
          </a:xfrm>
        </xdr:grpSpPr>
        <xdr:sp macro="" textlink="">
          <xdr:nvSpPr>
            <xdr:cNvPr id="75" name="Arc 74">
              <a:extLst>
                <a:ext uri="{FF2B5EF4-FFF2-40B4-BE49-F238E27FC236}">
                  <a16:creationId xmlns:a16="http://schemas.microsoft.com/office/drawing/2014/main" id="{00000000-0008-0000-0B00-00004B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6" name="Arc 75">
              <a:extLst>
                <a:ext uri="{FF2B5EF4-FFF2-40B4-BE49-F238E27FC236}">
                  <a16:creationId xmlns:a16="http://schemas.microsoft.com/office/drawing/2014/main" id="{00000000-0008-0000-0B00-00004C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7" name="Arc 76">
              <a:extLst>
                <a:ext uri="{FF2B5EF4-FFF2-40B4-BE49-F238E27FC236}">
                  <a16:creationId xmlns:a16="http://schemas.microsoft.com/office/drawing/2014/main" id="{00000000-0008-0000-0B00-00004D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8" name="Arc 77">
              <a:extLst>
                <a:ext uri="{FF2B5EF4-FFF2-40B4-BE49-F238E27FC236}">
                  <a16:creationId xmlns:a16="http://schemas.microsoft.com/office/drawing/2014/main" id="{00000000-0008-0000-0B00-00004E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70" name="Group 67">
            <a:extLst>
              <a:ext uri="{FF2B5EF4-FFF2-40B4-BE49-F238E27FC236}">
                <a16:creationId xmlns:a16="http://schemas.microsoft.com/office/drawing/2014/main" id="{00000000-0008-0000-0B00-000046000000}"/>
              </a:ext>
            </a:extLst>
          </xdr:cNvPr>
          <xdr:cNvGrpSpPr>
            <a:grpSpLocks/>
          </xdr:cNvGrpSpPr>
        </xdr:nvGrpSpPr>
        <xdr:grpSpPr bwMode="auto">
          <a:xfrm rot="5400000">
            <a:off x="3725140" y="26747959"/>
            <a:ext cx="331955" cy="942945"/>
            <a:chOff x="1564532" y="21536001"/>
            <a:chExt cx="331955" cy="952475"/>
          </a:xfrm>
        </xdr:grpSpPr>
        <xdr:sp macro="" textlink="">
          <xdr:nvSpPr>
            <xdr:cNvPr id="71" name="Arc 70">
              <a:extLst>
                <a:ext uri="{FF2B5EF4-FFF2-40B4-BE49-F238E27FC236}">
                  <a16:creationId xmlns:a16="http://schemas.microsoft.com/office/drawing/2014/main" id="{00000000-0008-0000-0B00-000047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2" name="Arc 71">
              <a:extLst>
                <a:ext uri="{FF2B5EF4-FFF2-40B4-BE49-F238E27FC236}">
                  <a16:creationId xmlns:a16="http://schemas.microsoft.com/office/drawing/2014/main" id="{00000000-0008-0000-0B00-000048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3" name="Arc 72">
              <a:extLst>
                <a:ext uri="{FF2B5EF4-FFF2-40B4-BE49-F238E27FC236}">
                  <a16:creationId xmlns:a16="http://schemas.microsoft.com/office/drawing/2014/main" id="{00000000-0008-0000-0B00-000049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4" name="Arc 73">
              <a:extLst>
                <a:ext uri="{FF2B5EF4-FFF2-40B4-BE49-F238E27FC236}">
                  <a16:creationId xmlns:a16="http://schemas.microsoft.com/office/drawing/2014/main" id="{00000000-0008-0000-0B00-00004A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6</xdr:col>
      <xdr:colOff>171450</xdr:colOff>
      <xdr:row>246</xdr:row>
      <xdr:rowOff>142875</xdr:rowOff>
    </xdr:from>
    <xdr:to>
      <xdr:col>9</xdr:col>
      <xdr:colOff>152545</xdr:colOff>
      <xdr:row>252</xdr:row>
      <xdr:rowOff>19067</xdr:rowOff>
    </xdr:to>
    <xdr:grpSp>
      <xdr:nvGrpSpPr>
        <xdr:cNvPr id="79" name="Group 1">
          <a:extLst>
            <a:ext uri="{FF2B5EF4-FFF2-40B4-BE49-F238E27FC236}">
              <a16:creationId xmlns:a16="http://schemas.microsoft.com/office/drawing/2014/main" id="{00000000-0008-0000-0B00-00004F000000}"/>
            </a:ext>
          </a:extLst>
        </xdr:cNvPr>
        <xdr:cNvGrpSpPr>
          <a:grpSpLocks/>
        </xdr:cNvGrpSpPr>
      </xdr:nvGrpSpPr>
      <xdr:grpSpPr bwMode="auto">
        <a:xfrm>
          <a:off x="2199033" y="42205275"/>
          <a:ext cx="994886" cy="870105"/>
          <a:chOff x="3409976" y="26491671"/>
          <a:chExt cx="952614" cy="893738"/>
        </a:xfrm>
      </xdr:grpSpPr>
      <xdr:grpSp>
        <xdr:nvGrpSpPr>
          <xdr:cNvPr id="80" name="Group 67">
            <a:extLst>
              <a:ext uri="{FF2B5EF4-FFF2-40B4-BE49-F238E27FC236}">
                <a16:creationId xmlns:a16="http://schemas.microsoft.com/office/drawing/2014/main" id="{00000000-0008-0000-0B00-000050000000}"/>
              </a:ext>
            </a:extLst>
          </xdr:cNvPr>
          <xdr:cNvGrpSpPr>
            <a:grpSpLocks/>
          </xdr:cNvGrpSpPr>
        </xdr:nvGrpSpPr>
        <xdr:grpSpPr bwMode="auto">
          <a:xfrm rot="-5400000">
            <a:off x="3715471" y="26186176"/>
            <a:ext cx="331959" cy="942949"/>
            <a:chOff x="1579927" y="21536029"/>
            <a:chExt cx="331959" cy="952473"/>
          </a:xfrm>
        </xdr:grpSpPr>
        <xdr:sp macro="" textlink="">
          <xdr:nvSpPr>
            <xdr:cNvPr id="88" name="Arc 87">
              <a:extLst>
                <a:ext uri="{FF2B5EF4-FFF2-40B4-BE49-F238E27FC236}">
                  <a16:creationId xmlns:a16="http://schemas.microsoft.com/office/drawing/2014/main" id="{00000000-0008-0000-0B00-000058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9" name="Arc 88">
              <a:extLst>
                <a:ext uri="{FF2B5EF4-FFF2-40B4-BE49-F238E27FC236}">
                  <a16:creationId xmlns:a16="http://schemas.microsoft.com/office/drawing/2014/main" id="{00000000-0008-0000-0B00-000059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0" name="Arc 89">
              <a:extLst>
                <a:ext uri="{FF2B5EF4-FFF2-40B4-BE49-F238E27FC236}">
                  <a16:creationId xmlns:a16="http://schemas.microsoft.com/office/drawing/2014/main" id="{00000000-0008-0000-0B00-00005A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1" name="Arc 90">
              <a:extLst>
                <a:ext uri="{FF2B5EF4-FFF2-40B4-BE49-F238E27FC236}">
                  <a16:creationId xmlns:a16="http://schemas.microsoft.com/office/drawing/2014/main" id="{00000000-0008-0000-0B00-00005B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81" name="Group 67">
            <a:extLst>
              <a:ext uri="{FF2B5EF4-FFF2-40B4-BE49-F238E27FC236}">
                <a16:creationId xmlns:a16="http://schemas.microsoft.com/office/drawing/2014/main" id="{00000000-0008-0000-0B00-000051000000}"/>
              </a:ext>
            </a:extLst>
          </xdr:cNvPr>
          <xdr:cNvGrpSpPr>
            <a:grpSpLocks/>
          </xdr:cNvGrpSpPr>
        </xdr:nvGrpSpPr>
        <xdr:grpSpPr bwMode="auto">
          <a:xfrm rot="5400000">
            <a:off x="3725140" y="26747959"/>
            <a:ext cx="331955" cy="942945"/>
            <a:chOff x="1564532" y="21536001"/>
            <a:chExt cx="331955" cy="952475"/>
          </a:xfrm>
        </xdr:grpSpPr>
        <xdr:sp macro="" textlink="">
          <xdr:nvSpPr>
            <xdr:cNvPr id="82" name="Arc 81">
              <a:extLst>
                <a:ext uri="{FF2B5EF4-FFF2-40B4-BE49-F238E27FC236}">
                  <a16:creationId xmlns:a16="http://schemas.microsoft.com/office/drawing/2014/main" id="{00000000-0008-0000-0B00-000052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3" name="Arc 82">
              <a:extLst>
                <a:ext uri="{FF2B5EF4-FFF2-40B4-BE49-F238E27FC236}">
                  <a16:creationId xmlns:a16="http://schemas.microsoft.com/office/drawing/2014/main" id="{00000000-0008-0000-0B00-000053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4" name="Arc 83">
              <a:extLst>
                <a:ext uri="{FF2B5EF4-FFF2-40B4-BE49-F238E27FC236}">
                  <a16:creationId xmlns:a16="http://schemas.microsoft.com/office/drawing/2014/main" id="{00000000-0008-0000-0B00-000054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7" name="Arc 86">
              <a:extLst>
                <a:ext uri="{FF2B5EF4-FFF2-40B4-BE49-F238E27FC236}">
                  <a16:creationId xmlns:a16="http://schemas.microsoft.com/office/drawing/2014/main" id="{00000000-0008-0000-0B00-000057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11</xdr:col>
      <xdr:colOff>171450</xdr:colOff>
      <xdr:row>247</xdr:row>
      <xdr:rowOff>0</xdr:rowOff>
    </xdr:from>
    <xdr:to>
      <xdr:col>14</xdr:col>
      <xdr:colOff>152545</xdr:colOff>
      <xdr:row>252</xdr:row>
      <xdr:rowOff>47642</xdr:rowOff>
    </xdr:to>
    <xdr:grpSp>
      <xdr:nvGrpSpPr>
        <xdr:cNvPr id="92" name="Group 1">
          <a:extLst>
            <a:ext uri="{FF2B5EF4-FFF2-40B4-BE49-F238E27FC236}">
              <a16:creationId xmlns:a16="http://schemas.microsoft.com/office/drawing/2014/main" id="{00000000-0008-0000-0B00-00005C000000}"/>
            </a:ext>
          </a:extLst>
        </xdr:cNvPr>
        <xdr:cNvGrpSpPr>
          <a:grpSpLocks/>
        </xdr:cNvGrpSpPr>
      </xdr:nvGrpSpPr>
      <xdr:grpSpPr bwMode="auto">
        <a:xfrm>
          <a:off x="3888685" y="42228052"/>
          <a:ext cx="994886" cy="875903"/>
          <a:chOff x="3409976" y="26491671"/>
          <a:chExt cx="952614" cy="893738"/>
        </a:xfrm>
      </xdr:grpSpPr>
      <xdr:grpSp>
        <xdr:nvGrpSpPr>
          <xdr:cNvPr id="93" name="Group 67">
            <a:extLst>
              <a:ext uri="{FF2B5EF4-FFF2-40B4-BE49-F238E27FC236}">
                <a16:creationId xmlns:a16="http://schemas.microsoft.com/office/drawing/2014/main" id="{00000000-0008-0000-0B00-00005D000000}"/>
              </a:ext>
            </a:extLst>
          </xdr:cNvPr>
          <xdr:cNvGrpSpPr>
            <a:grpSpLocks/>
          </xdr:cNvGrpSpPr>
        </xdr:nvGrpSpPr>
        <xdr:grpSpPr bwMode="auto">
          <a:xfrm rot="-5400000">
            <a:off x="3715471" y="26186176"/>
            <a:ext cx="331959" cy="942949"/>
            <a:chOff x="1579927" y="21536029"/>
            <a:chExt cx="331959" cy="952473"/>
          </a:xfrm>
        </xdr:grpSpPr>
        <xdr:sp macro="" textlink="">
          <xdr:nvSpPr>
            <xdr:cNvPr id="102" name="Arc 101">
              <a:extLst>
                <a:ext uri="{FF2B5EF4-FFF2-40B4-BE49-F238E27FC236}">
                  <a16:creationId xmlns:a16="http://schemas.microsoft.com/office/drawing/2014/main" id="{00000000-0008-0000-0B00-000066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3" name="Arc 102">
              <a:extLst>
                <a:ext uri="{FF2B5EF4-FFF2-40B4-BE49-F238E27FC236}">
                  <a16:creationId xmlns:a16="http://schemas.microsoft.com/office/drawing/2014/main" id="{00000000-0008-0000-0B00-000067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4" name="Arc 103">
              <a:extLst>
                <a:ext uri="{FF2B5EF4-FFF2-40B4-BE49-F238E27FC236}">
                  <a16:creationId xmlns:a16="http://schemas.microsoft.com/office/drawing/2014/main" id="{00000000-0008-0000-0B00-000068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5" name="Arc 104">
              <a:extLst>
                <a:ext uri="{FF2B5EF4-FFF2-40B4-BE49-F238E27FC236}">
                  <a16:creationId xmlns:a16="http://schemas.microsoft.com/office/drawing/2014/main" id="{00000000-0008-0000-0B00-000069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94" name="Group 67">
            <a:extLst>
              <a:ext uri="{FF2B5EF4-FFF2-40B4-BE49-F238E27FC236}">
                <a16:creationId xmlns:a16="http://schemas.microsoft.com/office/drawing/2014/main" id="{00000000-0008-0000-0B00-00005E000000}"/>
              </a:ext>
            </a:extLst>
          </xdr:cNvPr>
          <xdr:cNvGrpSpPr>
            <a:grpSpLocks/>
          </xdr:cNvGrpSpPr>
        </xdr:nvGrpSpPr>
        <xdr:grpSpPr bwMode="auto">
          <a:xfrm rot="5400000">
            <a:off x="3725140" y="26747959"/>
            <a:ext cx="331955" cy="942945"/>
            <a:chOff x="1564532" y="21536001"/>
            <a:chExt cx="331955" cy="952475"/>
          </a:xfrm>
        </xdr:grpSpPr>
        <xdr:sp macro="" textlink="">
          <xdr:nvSpPr>
            <xdr:cNvPr id="98" name="Arc 97">
              <a:extLst>
                <a:ext uri="{FF2B5EF4-FFF2-40B4-BE49-F238E27FC236}">
                  <a16:creationId xmlns:a16="http://schemas.microsoft.com/office/drawing/2014/main" id="{00000000-0008-0000-0B00-000062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9" name="Arc 98">
              <a:extLst>
                <a:ext uri="{FF2B5EF4-FFF2-40B4-BE49-F238E27FC236}">
                  <a16:creationId xmlns:a16="http://schemas.microsoft.com/office/drawing/2014/main" id="{00000000-0008-0000-0B00-000063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0" name="Arc 99">
              <a:extLst>
                <a:ext uri="{FF2B5EF4-FFF2-40B4-BE49-F238E27FC236}">
                  <a16:creationId xmlns:a16="http://schemas.microsoft.com/office/drawing/2014/main" id="{00000000-0008-0000-0B00-000064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1" name="Arc 100">
              <a:extLst>
                <a:ext uri="{FF2B5EF4-FFF2-40B4-BE49-F238E27FC236}">
                  <a16:creationId xmlns:a16="http://schemas.microsoft.com/office/drawing/2014/main" id="{00000000-0008-0000-0B00-000065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171445</xdr:colOff>
      <xdr:row>187</xdr:row>
      <xdr:rowOff>9536</xdr:rowOff>
    </xdr:from>
    <xdr:to>
      <xdr:col>13</xdr:col>
      <xdr:colOff>152405</xdr:colOff>
      <xdr:row>191</xdr:row>
      <xdr:rowOff>38111</xdr:rowOff>
    </xdr:to>
    <xdr:grpSp>
      <xdr:nvGrpSpPr>
        <xdr:cNvPr id="2" name="Group 1">
          <a:extLst>
            <a:ext uri="{FF2B5EF4-FFF2-40B4-BE49-F238E27FC236}">
              <a16:creationId xmlns:a16="http://schemas.microsoft.com/office/drawing/2014/main" id="{00000000-0008-0000-0C00-000002000000}"/>
            </a:ext>
          </a:extLst>
        </xdr:cNvPr>
        <xdr:cNvGrpSpPr>
          <a:grpSpLocks/>
        </xdr:cNvGrpSpPr>
      </xdr:nvGrpSpPr>
      <xdr:grpSpPr bwMode="auto">
        <a:xfrm>
          <a:off x="3524245" y="32226896"/>
          <a:ext cx="986800" cy="798195"/>
          <a:chOff x="3409969" y="26355475"/>
          <a:chExt cx="952486" cy="1029913"/>
        </a:xfrm>
      </xdr:grpSpPr>
      <xdr:grpSp>
        <xdr:nvGrpSpPr>
          <xdr:cNvPr id="3" name="Group 67">
            <a:extLst>
              <a:ext uri="{FF2B5EF4-FFF2-40B4-BE49-F238E27FC236}">
                <a16:creationId xmlns:a16="http://schemas.microsoft.com/office/drawing/2014/main" id="{00000000-0008-0000-0C00-000003000000}"/>
              </a:ext>
            </a:extLst>
          </xdr:cNvPr>
          <xdr:cNvGrpSpPr>
            <a:grpSpLocks/>
          </xdr:cNvGrpSpPr>
        </xdr:nvGrpSpPr>
        <xdr:grpSpPr bwMode="auto">
          <a:xfrm rot="-5400000">
            <a:off x="3715466" y="26049978"/>
            <a:ext cx="331957" cy="942951"/>
            <a:chOff x="1716119" y="21536026"/>
            <a:chExt cx="331957" cy="952475"/>
          </a:xfrm>
        </xdr:grpSpPr>
        <xdr:sp macro="" textlink="">
          <xdr:nvSpPr>
            <xdr:cNvPr id="9" name="Arc 8">
              <a:extLst>
                <a:ext uri="{FF2B5EF4-FFF2-40B4-BE49-F238E27FC236}">
                  <a16:creationId xmlns:a16="http://schemas.microsoft.com/office/drawing/2014/main" id="{00000000-0008-0000-0C00-000009000000}"/>
                </a:ext>
              </a:extLst>
            </xdr:cNvPr>
            <xdr:cNvSpPr/>
          </xdr:nvSpPr>
          <xdr:spPr bwMode="auto">
            <a:xfrm rot="16200000">
              <a:off x="1761836" y="22210772"/>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 name="Arc 9">
              <a:extLst>
                <a:ext uri="{FF2B5EF4-FFF2-40B4-BE49-F238E27FC236}">
                  <a16:creationId xmlns:a16="http://schemas.microsoft.com/office/drawing/2014/main" id="{00000000-0008-0000-0C00-00000A000000}"/>
                </a:ext>
              </a:extLst>
            </xdr:cNvPr>
            <xdr:cNvSpPr/>
          </xdr:nvSpPr>
          <xdr:spPr bwMode="auto">
            <a:xfrm rot="16200000">
              <a:off x="1766646"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1" name="Arc 10">
              <a:extLst>
                <a:ext uri="{FF2B5EF4-FFF2-40B4-BE49-F238E27FC236}">
                  <a16:creationId xmlns:a16="http://schemas.microsoft.com/office/drawing/2014/main" id="{00000000-0008-0000-0C00-00000B000000}"/>
                </a:ext>
              </a:extLst>
            </xdr:cNvPr>
            <xdr:cNvSpPr/>
          </xdr:nvSpPr>
          <xdr:spPr bwMode="auto">
            <a:xfrm rot="16200000">
              <a:off x="1757580" y="21735089"/>
              <a:ext cx="240524" cy="323445"/>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2" name="Arc 11">
              <a:extLst>
                <a:ext uri="{FF2B5EF4-FFF2-40B4-BE49-F238E27FC236}">
                  <a16:creationId xmlns:a16="http://schemas.microsoft.com/office/drawing/2014/main" id="{00000000-0008-0000-0C00-00000C000000}"/>
                </a:ext>
              </a:extLst>
            </xdr:cNvPr>
            <xdr:cNvSpPr/>
          </xdr:nvSpPr>
          <xdr:spPr bwMode="auto">
            <a:xfrm rot="16200000">
              <a:off x="1770348" y="21498821"/>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4" name="Group 67">
            <a:extLst>
              <a:ext uri="{FF2B5EF4-FFF2-40B4-BE49-F238E27FC236}">
                <a16:creationId xmlns:a16="http://schemas.microsoft.com/office/drawing/2014/main" id="{00000000-0008-0000-0C00-000004000000}"/>
              </a:ext>
            </a:extLst>
          </xdr:cNvPr>
          <xdr:cNvGrpSpPr>
            <a:grpSpLocks/>
          </xdr:cNvGrpSpPr>
        </xdr:nvGrpSpPr>
        <xdr:grpSpPr bwMode="auto">
          <a:xfrm rot="5400000">
            <a:off x="3725002" y="26747936"/>
            <a:ext cx="331955" cy="942950"/>
            <a:chOff x="1564532" y="21536002"/>
            <a:chExt cx="331955" cy="952474"/>
          </a:xfrm>
        </xdr:grpSpPr>
        <xdr:sp macro="" textlink="">
          <xdr:nvSpPr>
            <xdr:cNvPr id="5" name="Arc 4">
              <a:extLst>
                <a:ext uri="{FF2B5EF4-FFF2-40B4-BE49-F238E27FC236}">
                  <a16:creationId xmlns:a16="http://schemas.microsoft.com/office/drawing/2014/main" id="{00000000-0008-0000-0C00-000005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 name="Arc 5">
              <a:extLst>
                <a:ext uri="{FF2B5EF4-FFF2-40B4-BE49-F238E27FC236}">
                  <a16:creationId xmlns:a16="http://schemas.microsoft.com/office/drawing/2014/main" id="{00000000-0008-0000-0C00-000006000000}"/>
                </a:ext>
              </a:extLst>
            </xdr:cNvPr>
            <xdr:cNvSpPr/>
          </xdr:nvSpPr>
          <xdr:spPr bwMode="auto">
            <a:xfrm rot="16200000">
              <a:off x="1615059" y="21984655"/>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 name="Arc 6">
              <a:extLst>
                <a:ext uri="{FF2B5EF4-FFF2-40B4-BE49-F238E27FC236}">
                  <a16:creationId xmlns:a16="http://schemas.microsoft.com/office/drawing/2014/main" id="{00000000-0008-0000-0C00-000007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 name="Arc 7">
              <a:extLst>
                <a:ext uri="{FF2B5EF4-FFF2-40B4-BE49-F238E27FC236}">
                  <a16:creationId xmlns:a16="http://schemas.microsoft.com/office/drawing/2014/main" id="{00000000-0008-0000-0C00-000008000000}"/>
                </a:ext>
              </a:extLst>
            </xdr:cNvPr>
            <xdr:cNvSpPr/>
          </xdr:nvSpPr>
          <xdr:spPr bwMode="auto">
            <a:xfrm rot="16200000">
              <a:off x="1601736" y="2149879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5</xdr:col>
      <xdr:colOff>171450</xdr:colOff>
      <xdr:row>212</xdr:row>
      <xdr:rowOff>161925</xdr:rowOff>
    </xdr:from>
    <xdr:to>
      <xdr:col>8</xdr:col>
      <xdr:colOff>152545</xdr:colOff>
      <xdr:row>218</xdr:row>
      <xdr:rowOff>38117</xdr:rowOff>
    </xdr:to>
    <xdr:grpSp>
      <xdr:nvGrpSpPr>
        <xdr:cNvPr id="13" name="Group 1">
          <a:extLst>
            <a:ext uri="{FF2B5EF4-FFF2-40B4-BE49-F238E27FC236}">
              <a16:creationId xmlns:a16="http://schemas.microsoft.com/office/drawing/2014/main" id="{00000000-0008-0000-0C00-00000D000000}"/>
            </a:ext>
          </a:extLst>
        </xdr:cNvPr>
        <xdr:cNvGrpSpPr>
          <a:grpSpLocks/>
        </xdr:cNvGrpSpPr>
      </xdr:nvGrpSpPr>
      <xdr:grpSpPr bwMode="auto">
        <a:xfrm>
          <a:off x="1847850" y="36745545"/>
          <a:ext cx="986935" cy="927752"/>
          <a:chOff x="3409976" y="26491671"/>
          <a:chExt cx="952614" cy="893738"/>
        </a:xfrm>
      </xdr:grpSpPr>
      <xdr:grpSp>
        <xdr:nvGrpSpPr>
          <xdr:cNvPr id="14" name="Group 67">
            <a:extLst>
              <a:ext uri="{FF2B5EF4-FFF2-40B4-BE49-F238E27FC236}">
                <a16:creationId xmlns:a16="http://schemas.microsoft.com/office/drawing/2014/main" id="{00000000-0008-0000-0C00-00000E000000}"/>
              </a:ext>
            </a:extLst>
          </xdr:cNvPr>
          <xdr:cNvGrpSpPr>
            <a:grpSpLocks/>
          </xdr:cNvGrpSpPr>
        </xdr:nvGrpSpPr>
        <xdr:grpSpPr bwMode="auto">
          <a:xfrm rot="-5400000">
            <a:off x="3715471" y="26186176"/>
            <a:ext cx="331959" cy="942949"/>
            <a:chOff x="1579927" y="21536029"/>
            <a:chExt cx="331959" cy="952473"/>
          </a:xfrm>
        </xdr:grpSpPr>
        <xdr:sp macro="" textlink="">
          <xdr:nvSpPr>
            <xdr:cNvPr id="20" name="Arc 19">
              <a:extLst>
                <a:ext uri="{FF2B5EF4-FFF2-40B4-BE49-F238E27FC236}">
                  <a16:creationId xmlns:a16="http://schemas.microsoft.com/office/drawing/2014/main" id="{00000000-0008-0000-0C00-000014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1" name="Arc 20">
              <a:extLst>
                <a:ext uri="{FF2B5EF4-FFF2-40B4-BE49-F238E27FC236}">
                  <a16:creationId xmlns:a16="http://schemas.microsoft.com/office/drawing/2014/main" id="{00000000-0008-0000-0C00-000015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2" name="Arc 21">
              <a:extLst>
                <a:ext uri="{FF2B5EF4-FFF2-40B4-BE49-F238E27FC236}">
                  <a16:creationId xmlns:a16="http://schemas.microsoft.com/office/drawing/2014/main" id="{00000000-0008-0000-0C00-000016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3" name="Arc 22">
              <a:extLst>
                <a:ext uri="{FF2B5EF4-FFF2-40B4-BE49-F238E27FC236}">
                  <a16:creationId xmlns:a16="http://schemas.microsoft.com/office/drawing/2014/main" id="{00000000-0008-0000-0C00-000017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15" name="Group 67">
            <a:extLst>
              <a:ext uri="{FF2B5EF4-FFF2-40B4-BE49-F238E27FC236}">
                <a16:creationId xmlns:a16="http://schemas.microsoft.com/office/drawing/2014/main" id="{00000000-0008-0000-0C00-00000F000000}"/>
              </a:ext>
            </a:extLst>
          </xdr:cNvPr>
          <xdr:cNvGrpSpPr>
            <a:grpSpLocks/>
          </xdr:cNvGrpSpPr>
        </xdr:nvGrpSpPr>
        <xdr:grpSpPr bwMode="auto">
          <a:xfrm rot="5400000">
            <a:off x="3725140" y="26747959"/>
            <a:ext cx="331955" cy="942945"/>
            <a:chOff x="1564532" y="21536001"/>
            <a:chExt cx="331955" cy="952475"/>
          </a:xfrm>
        </xdr:grpSpPr>
        <xdr:sp macro="" textlink="">
          <xdr:nvSpPr>
            <xdr:cNvPr id="16" name="Arc 15">
              <a:extLst>
                <a:ext uri="{FF2B5EF4-FFF2-40B4-BE49-F238E27FC236}">
                  <a16:creationId xmlns:a16="http://schemas.microsoft.com/office/drawing/2014/main" id="{00000000-0008-0000-0C00-000010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7" name="Arc 16">
              <a:extLst>
                <a:ext uri="{FF2B5EF4-FFF2-40B4-BE49-F238E27FC236}">
                  <a16:creationId xmlns:a16="http://schemas.microsoft.com/office/drawing/2014/main" id="{00000000-0008-0000-0C00-000011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8" name="Arc 17">
              <a:extLst>
                <a:ext uri="{FF2B5EF4-FFF2-40B4-BE49-F238E27FC236}">
                  <a16:creationId xmlns:a16="http://schemas.microsoft.com/office/drawing/2014/main" id="{00000000-0008-0000-0C00-000012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9" name="Arc 18">
              <a:extLst>
                <a:ext uri="{FF2B5EF4-FFF2-40B4-BE49-F238E27FC236}">
                  <a16:creationId xmlns:a16="http://schemas.microsoft.com/office/drawing/2014/main" id="{00000000-0008-0000-0C00-000013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20</xdr:col>
      <xdr:colOff>171450</xdr:colOff>
      <xdr:row>212</xdr:row>
      <xdr:rowOff>161925</xdr:rowOff>
    </xdr:from>
    <xdr:to>
      <xdr:col>23</xdr:col>
      <xdr:colOff>152545</xdr:colOff>
      <xdr:row>218</xdr:row>
      <xdr:rowOff>38117</xdr:rowOff>
    </xdr:to>
    <xdr:grpSp>
      <xdr:nvGrpSpPr>
        <xdr:cNvPr id="24" name="Group 1">
          <a:extLst>
            <a:ext uri="{FF2B5EF4-FFF2-40B4-BE49-F238E27FC236}">
              <a16:creationId xmlns:a16="http://schemas.microsoft.com/office/drawing/2014/main" id="{00000000-0008-0000-0C00-000018000000}"/>
            </a:ext>
          </a:extLst>
        </xdr:cNvPr>
        <xdr:cNvGrpSpPr>
          <a:grpSpLocks/>
        </xdr:cNvGrpSpPr>
      </xdr:nvGrpSpPr>
      <xdr:grpSpPr bwMode="auto">
        <a:xfrm>
          <a:off x="6877050" y="36745545"/>
          <a:ext cx="986935" cy="927752"/>
          <a:chOff x="3409976" y="26491671"/>
          <a:chExt cx="952614" cy="893738"/>
        </a:xfrm>
      </xdr:grpSpPr>
      <xdr:grpSp>
        <xdr:nvGrpSpPr>
          <xdr:cNvPr id="25" name="Group 67">
            <a:extLst>
              <a:ext uri="{FF2B5EF4-FFF2-40B4-BE49-F238E27FC236}">
                <a16:creationId xmlns:a16="http://schemas.microsoft.com/office/drawing/2014/main" id="{00000000-0008-0000-0C00-000019000000}"/>
              </a:ext>
            </a:extLst>
          </xdr:cNvPr>
          <xdr:cNvGrpSpPr>
            <a:grpSpLocks/>
          </xdr:cNvGrpSpPr>
        </xdr:nvGrpSpPr>
        <xdr:grpSpPr bwMode="auto">
          <a:xfrm rot="-5400000">
            <a:off x="3715471" y="26186176"/>
            <a:ext cx="331959" cy="942949"/>
            <a:chOff x="1579927" y="21536029"/>
            <a:chExt cx="331959" cy="952473"/>
          </a:xfrm>
        </xdr:grpSpPr>
        <xdr:sp macro="" textlink="">
          <xdr:nvSpPr>
            <xdr:cNvPr id="31" name="Arc 30">
              <a:extLst>
                <a:ext uri="{FF2B5EF4-FFF2-40B4-BE49-F238E27FC236}">
                  <a16:creationId xmlns:a16="http://schemas.microsoft.com/office/drawing/2014/main" id="{00000000-0008-0000-0C00-00001F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2" name="Arc 31">
              <a:extLst>
                <a:ext uri="{FF2B5EF4-FFF2-40B4-BE49-F238E27FC236}">
                  <a16:creationId xmlns:a16="http://schemas.microsoft.com/office/drawing/2014/main" id="{00000000-0008-0000-0C00-000020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3" name="Arc 32">
              <a:extLst>
                <a:ext uri="{FF2B5EF4-FFF2-40B4-BE49-F238E27FC236}">
                  <a16:creationId xmlns:a16="http://schemas.microsoft.com/office/drawing/2014/main" id="{00000000-0008-0000-0C00-000021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4" name="Arc 33">
              <a:extLst>
                <a:ext uri="{FF2B5EF4-FFF2-40B4-BE49-F238E27FC236}">
                  <a16:creationId xmlns:a16="http://schemas.microsoft.com/office/drawing/2014/main" id="{00000000-0008-0000-0C00-000022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26" name="Group 67">
            <a:extLst>
              <a:ext uri="{FF2B5EF4-FFF2-40B4-BE49-F238E27FC236}">
                <a16:creationId xmlns:a16="http://schemas.microsoft.com/office/drawing/2014/main" id="{00000000-0008-0000-0C00-00001A000000}"/>
              </a:ext>
            </a:extLst>
          </xdr:cNvPr>
          <xdr:cNvGrpSpPr>
            <a:grpSpLocks/>
          </xdr:cNvGrpSpPr>
        </xdr:nvGrpSpPr>
        <xdr:grpSpPr bwMode="auto">
          <a:xfrm rot="5400000">
            <a:off x="3725140" y="26747959"/>
            <a:ext cx="331955" cy="942945"/>
            <a:chOff x="1564532" y="21536001"/>
            <a:chExt cx="331955" cy="952475"/>
          </a:xfrm>
        </xdr:grpSpPr>
        <xdr:sp macro="" textlink="">
          <xdr:nvSpPr>
            <xdr:cNvPr id="27" name="Arc 26">
              <a:extLst>
                <a:ext uri="{FF2B5EF4-FFF2-40B4-BE49-F238E27FC236}">
                  <a16:creationId xmlns:a16="http://schemas.microsoft.com/office/drawing/2014/main" id="{00000000-0008-0000-0C00-00001B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8" name="Arc 27">
              <a:extLst>
                <a:ext uri="{FF2B5EF4-FFF2-40B4-BE49-F238E27FC236}">
                  <a16:creationId xmlns:a16="http://schemas.microsoft.com/office/drawing/2014/main" id="{00000000-0008-0000-0C00-00001C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29" name="Arc 28">
              <a:extLst>
                <a:ext uri="{FF2B5EF4-FFF2-40B4-BE49-F238E27FC236}">
                  <a16:creationId xmlns:a16="http://schemas.microsoft.com/office/drawing/2014/main" id="{00000000-0008-0000-0C00-00001D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0" name="Arc 29">
              <a:extLst>
                <a:ext uri="{FF2B5EF4-FFF2-40B4-BE49-F238E27FC236}">
                  <a16:creationId xmlns:a16="http://schemas.microsoft.com/office/drawing/2014/main" id="{00000000-0008-0000-0C00-00001E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6</xdr:col>
      <xdr:colOff>171450</xdr:colOff>
      <xdr:row>295</xdr:row>
      <xdr:rowOff>0</xdr:rowOff>
    </xdr:from>
    <xdr:to>
      <xdr:col>9</xdr:col>
      <xdr:colOff>152545</xdr:colOff>
      <xdr:row>300</xdr:row>
      <xdr:rowOff>47642</xdr:rowOff>
    </xdr:to>
    <xdr:grpSp>
      <xdr:nvGrpSpPr>
        <xdr:cNvPr id="35" name="Group 1">
          <a:extLst>
            <a:ext uri="{FF2B5EF4-FFF2-40B4-BE49-F238E27FC236}">
              <a16:creationId xmlns:a16="http://schemas.microsoft.com/office/drawing/2014/main" id="{00000000-0008-0000-0C00-000023000000}"/>
            </a:ext>
          </a:extLst>
        </xdr:cNvPr>
        <xdr:cNvGrpSpPr>
          <a:grpSpLocks/>
        </xdr:cNvGrpSpPr>
      </xdr:nvGrpSpPr>
      <xdr:grpSpPr bwMode="auto">
        <a:xfrm>
          <a:off x="2183130" y="50878740"/>
          <a:ext cx="986935" cy="923942"/>
          <a:chOff x="3409976" y="26491671"/>
          <a:chExt cx="952614" cy="893738"/>
        </a:xfrm>
      </xdr:grpSpPr>
      <xdr:grpSp>
        <xdr:nvGrpSpPr>
          <xdr:cNvPr id="36" name="Group 67">
            <a:extLst>
              <a:ext uri="{FF2B5EF4-FFF2-40B4-BE49-F238E27FC236}">
                <a16:creationId xmlns:a16="http://schemas.microsoft.com/office/drawing/2014/main" id="{00000000-0008-0000-0C00-000024000000}"/>
              </a:ext>
            </a:extLst>
          </xdr:cNvPr>
          <xdr:cNvGrpSpPr>
            <a:grpSpLocks/>
          </xdr:cNvGrpSpPr>
        </xdr:nvGrpSpPr>
        <xdr:grpSpPr bwMode="auto">
          <a:xfrm rot="-5400000">
            <a:off x="3715471" y="26186176"/>
            <a:ext cx="331959" cy="942949"/>
            <a:chOff x="1579927" y="21536029"/>
            <a:chExt cx="331959" cy="952473"/>
          </a:xfrm>
        </xdr:grpSpPr>
        <xdr:sp macro="" textlink="">
          <xdr:nvSpPr>
            <xdr:cNvPr id="42" name="Arc 41">
              <a:extLst>
                <a:ext uri="{FF2B5EF4-FFF2-40B4-BE49-F238E27FC236}">
                  <a16:creationId xmlns:a16="http://schemas.microsoft.com/office/drawing/2014/main" id="{00000000-0008-0000-0C00-00002A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3" name="Arc 42">
              <a:extLst>
                <a:ext uri="{FF2B5EF4-FFF2-40B4-BE49-F238E27FC236}">
                  <a16:creationId xmlns:a16="http://schemas.microsoft.com/office/drawing/2014/main" id="{00000000-0008-0000-0C00-00002B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4" name="Arc 43">
              <a:extLst>
                <a:ext uri="{FF2B5EF4-FFF2-40B4-BE49-F238E27FC236}">
                  <a16:creationId xmlns:a16="http://schemas.microsoft.com/office/drawing/2014/main" id="{00000000-0008-0000-0C00-00002C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5" name="Arc 44">
              <a:extLst>
                <a:ext uri="{FF2B5EF4-FFF2-40B4-BE49-F238E27FC236}">
                  <a16:creationId xmlns:a16="http://schemas.microsoft.com/office/drawing/2014/main" id="{00000000-0008-0000-0C00-00002D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37" name="Group 67">
            <a:extLst>
              <a:ext uri="{FF2B5EF4-FFF2-40B4-BE49-F238E27FC236}">
                <a16:creationId xmlns:a16="http://schemas.microsoft.com/office/drawing/2014/main" id="{00000000-0008-0000-0C00-000025000000}"/>
              </a:ext>
            </a:extLst>
          </xdr:cNvPr>
          <xdr:cNvGrpSpPr>
            <a:grpSpLocks/>
          </xdr:cNvGrpSpPr>
        </xdr:nvGrpSpPr>
        <xdr:grpSpPr bwMode="auto">
          <a:xfrm rot="5400000">
            <a:off x="3725140" y="26747959"/>
            <a:ext cx="331955" cy="942945"/>
            <a:chOff x="1564532" y="21536001"/>
            <a:chExt cx="331955" cy="952475"/>
          </a:xfrm>
        </xdr:grpSpPr>
        <xdr:sp macro="" textlink="">
          <xdr:nvSpPr>
            <xdr:cNvPr id="38" name="Arc 37">
              <a:extLst>
                <a:ext uri="{FF2B5EF4-FFF2-40B4-BE49-F238E27FC236}">
                  <a16:creationId xmlns:a16="http://schemas.microsoft.com/office/drawing/2014/main" id="{00000000-0008-0000-0C00-000026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39" name="Arc 38">
              <a:extLst>
                <a:ext uri="{FF2B5EF4-FFF2-40B4-BE49-F238E27FC236}">
                  <a16:creationId xmlns:a16="http://schemas.microsoft.com/office/drawing/2014/main" id="{00000000-0008-0000-0C00-000027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0" name="Arc 39">
              <a:extLst>
                <a:ext uri="{FF2B5EF4-FFF2-40B4-BE49-F238E27FC236}">
                  <a16:creationId xmlns:a16="http://schemas.microsoft.com/office/drawing/2014/main" id="{00000000-0008-0000-0C00-000028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41" name="Arc 40">
              <a:extLst>
                <a:ext uri="{FF2B5EF4-FFF2-40B4-BE49-F238E27FC236}">
                  <a16:creationId xmlns:a16="http://schemas.microsoft.com/office/drawing/2014/main" id="{00000000-0008-0000-0C00-000029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11</xdr:col>
      <xdr:colOff>171450</xdr:colOff>
      <xdr:row>294</xdr:row>
      <xdr:rowOff>161925</xdr:rowOff>
    </xdr:from>
    <xdr:to>
      <xdr:col>14</xdr:col>
      <xdr:colOff>152545</xdr:colOff>
      <xdr:row>300</xdr:row>
      <xdr:rowOff>38117</xdr:rowOff>
    </xdr:to>
    <xdr:grpSp>
      <xdr:nvGrpSpPr>
        <xdr:cNvPr id="46" name="Group 1">
          <a:extLst>
            <a:ext uri="{FF2B5EF4-FFF2-40B4-BE49-F238E27FC236}">
              <a16:creationId xmlns:a16="http://schemas.microsoft.com/office/drawing/2014/main" id="{00000000-0008-0000-0C00-00002E000000}"/>
            </a:ext>
          </a:extLst>
        </xdr:cNvPr>
        <xdr:cNvGrpSpPr>
          <a:grpSpLocks/>
        </xdr:cNvGrpSpPr>
      </xdr:nvGrpSpPr>
      <xdr:grpSpPr bwMode="auto">
        <a:xfrm>
          <a:off x="3859530" y="50865405"/>
          <a:ext cx="986935" cy="927752"/>
          <a:chOff x="3409976" y="26491671"/>
          <a:chExt cx="952614" cy="893738"/>
        </a:xfrm>
      </xdr:grpSpPr>
      <xdr:grpSp>
        <xdr:nvGrpSpPr>
          <xdr:cNvPr id="47" name="Group 67">
            <a:extLst>
              <a:ext uri="{FF2B5EF4-FFF2-40B4-BE49-F238E27FC236}">
                <a16:creationId xmlns:a16="http://schemas.microsoft.com/office/drawing/2014/main" id="{00000000-0008-0000-0C00-00002F000000}"/>
              </a:ext>
            </a:extLst>
          </xdr:cNvPr>
          <xdr:cNvGrpSpPr>
            <a:grpSpLocks/>
          </xdr:cNvGrpSpPr>
        </xdr:nvGrpSpPr>
        <xdr:grpSpPr bwMode="auto">
          <a:xfrm rot="-5400000">
            <a:off x="3715471" y="26186176"/>
            <a:ext cx="331959" cy="942949"/>
            <a:chOff x="1579927" y="21536029"/>
            <a:chExt cx="331959" cy="952473"/>
          </a:xfrm>
        </xdr:grpSpPr>
        <xdr:sp macro="" textlink="">
          <xdr:nvSpPr>
            <xdr:cNvPr id="53" name="Arc 52">
              <a:extLst>
                <a:ext uri="{FF2B5EF4-FFF2-40B4-BE49-F238E27FC236}">
                  <a16:creationId xmlns:a16="http://schemas.microsoft.com/office/drawing/2014/main" id="{00000000-0008-0000-0C00-000035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4" name="Arc 53">
              <a:extLst>
                <a:ext uri="{FF2B5EF4-FFF2-40B4-BE49-F238E27FC236}">
                  <a16:creationId xmlns:a16="http://schemas.microsoft.com/office/drawing/2014/main" id="{00000000-0008-0000-0C00-000036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5" name="Arc 54">
              <a:extLst>
                <a:ext uri="{FF2B5EF4-FFF2-40B4-BE49-F238E27FC236}">
                  <a16:creationId xmlns:a16="http://schemas.microsoft.com/office/drawing/2014/main" id="{00000000-0008-0000-0C00-000037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6" name="Arc 55">
              <a:extLst>
                <a:ext uri="{FF2B5EF4-FFF2-40B4-BE49-F238E27FC236}">
                  <a16:creationId xmlns:a16="http://schemas.microsoft.com/office/drawing/2014/main" id="{00000000-0008-0000-0C00-000038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48" name="Group 67">
            <a:extLst>
              <a:ext uri="{FF2B5EF4-FFF2-40B4-BE49-F238E27FC236}">
                <a16:creationId xmlns:a16="http://schemas.microsoft.com/office/drawing/2014/main" id="{00000000-0008-0000-0C00-000030000000}"/>
              </a:ext>
            </a:extLst>
          </xdr:cNvPr>
          <xdr:cNvGrpSpPr>
            <a:grpSpLocks/>
          </xdr:cNvGrpSpPr>
        </xdr:nvGrpSpPr>
        <xdr:grpSpPr bwMode="auto">
          <a:xfrm rot="5400000">
            <a:off x="3725140" y="26747959"/>
            <a:ext cx="331955" cy="942945"/>
            <a:chOff x="1564532" y="21536001"/>
            <a:chExt cx="331955" cy="952475"/>
          </a:xfrm>
        </xdr:grpSpPr>
        <xdr:sp macro="" textlink="">
          <xdr:nvSpPr>
            <xdr:cNvPr id="49" name="Arc 48">
              <a:extLst>
                <a:ext uri="{FF2B5EF4-FFF2-40B4-BE49-F238E27FC236}">
                  <a16:creationId xmlns:a16="http://schemas.microsoft.com/office/drawing/2014/main" id="{00000000-0008-0000-0C00-000031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0" name="Arc 49">
              <a:extLst>
                <a:ext uri="{FF2B5EF4-FFF2-40B4-BE49-F238E27FC236}">
                  <a16:creationId xmlns:a16="http://schemas.microsoft.com/office/drawing/2014/main" id="{00000000-0008-0000-0C00-000032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1" name="Arc 50">
              <a:extLst>
                <a:ext uri="{FF2B5EF4-FFF2-40B4-BE49-F238E27FC236}">
                  <a16:creationId xmlns:a16="http://schemas.microsoft.com/office/drawing/2014/main" id="{00000000-0008-0000-0C00-000033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52" name="Arc 51">
              <a:extLst>
                <a:ext uri="{FF2B5EF4-FFF2-40B4-BE49-F238E27FC236}">
                  <a16:creationId xmlns:a16="http://schemas.microsoft.com/office/drawing/2014/main" id="{00000000-0008-0000-0C00-000034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6</xdr:col>
      <xdr:colOff>171450</xdr:colOff>
      <xdr:row>273</xdr:row>
      <xdr:rowOff>152400</xdr:rowOff>
    </xdr:from>
    <xdr:to>
      <xdr:col>9</xdr:col>
      <xdr:colOff>152545</xdr:colOff>
      <xdr:row>279</xdr:row>
      <xdr:rowOff>28592</xdr:rowOff>
    </xdr:to>
    <xdr:grpSp>
      <xdr:nvGrpSpPr>
        <xdr:cNvPr id="57" name="Group 1">
          <a:extLst>
            <a:ext uri="{FF2B5EF4-FFF2-40B4-BE49-F238E27FC236}">
              <a16:creationId xmlns:a16="http://schemas.microsoft.com/office/drawing/2014/main" id="{00000000-0008-0000-0C00-000039000000}"/>
            </a:ext>
          </a:extLst>
        </xdr:cNvPr>
        <xdr:cNvGrpSpPr>
          <a:grpSpLocks/>
        </xdr:cNvGrpSpPr>
      </xdr:nvGrpSpPr>
      <xdr:grpSpPr bwMode="auto">
        <a:xfrm>
          <a:off x="2183130" y="47236380"/>
          <a:ext cx="986935" cy="882032"/>
          <a:chOff x="3409976" y="26491671"/>
          <a:chExt cx="952614" cy="893738"/>
        </a:xfrm>
      </xdr:grpSpPr>
      <xdr:grpSp>
        <xdr:nvGrpSpPr>
          <xdr:cNvPr id="58" name="Group 67">
            <a:extLst>
              <a:ext uri="{FF2B5EF4-FFF2-40B4-BE49-F238E27FC236}">
                <a16:creationId xmlns:a16="http://schemas.microsoft.com/office/drawing/2014/main" id="{00000000-0008-0000-0C00-00003A000000}"/>
              </a:ext>
            </a:extLst>
          </xdr:cNvPr>
          <xdr:cNvGrpSpPr>
            <a:grpSpLocks/>
          </xdr:cNvGrpSpPr>
        </xdr:nvGrpSpPr>
        <xdr:grpSpPr bwMode="auto">
          <a:xfrm rot="-5400000">
            <a:off x="3715471" y="26186176"/>
            <a:ext cx="331959" cy="942949"/>
            <a:chOff x="1579927" y="21536029"/>
            <a:chExt cx="331959" cy="952473"/>
          </a:xfrm>
        </xdr:grpSpPr>
        <xdr:sp macro="" textlink="">
          <xdr:nvSpPr>
            <xdr:cNvPr id="64" name="Arc 63">
              <a:extLst>
                <a:ext uri="{FF2B5EF4-FFF2-40B4-BE49-F238E27FC236}">
                  <a16:creationId xmlns:a16="http://schemas.microsoft.com/office/drawing/2014/main" id="{00000000-0008-0000-0C00-000040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5" name="Arc 64">
              <a:extLst>
                <a:ext uri="{FF2B5EF4-FFF2-40B4-BE49-F238E27FC236}">
                  <a16:creationId xmlns:a16="http://schemas.microsoft.com/office/drawing/2014/main" id="{00000000-0008-0000-0C00-000041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6" name="Arc 65">
              <a:extLst>
                <a:ext uri="{FF2B5EF4-FFF2-40B4-BE49-F238E27FC236}">
                  <a16:creationId xmlns:a16="http://schemas.microsoft.com/office/drawing/2014/main" id="{00000000-0008-0000-0C00-000042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7" name="Arc 66">
              <a:extLst>
                <a:ext uri="{FF2B5EF4-FFF2-40B4-BE49-F238E27FC236}">
                  <a16:creationId xmlns:a16="http://schemas.microsoft.com/office/drawing/2014/main" id="{00000000-0008-0000-0C00-000043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59" name="Group 67">
            <a:extLst>
              <a:ext uri="{FF2B5EF4-FFF2-40B4-BE49-F238E27FC236}">
                <a16:creationId xmlns:a16="http://schemas.microsoft.com/office/drawing/2014/main" id="{00000000-0008-0000-0C00-00003B000000}"/>
              </a:ext>
            </a:extLst>
          </xdr:cNvPr>
          <xdr:cNvGrpSpPr>
            <a:grpSpLocks/>
          </xdr:cNvGrpSpPr>
        </xdr:nvGrpSpPr>
        <xdr:grpSpPr bwMode="auto">
          <a:xfrm rot="5400000">
            <a:off x="3725140" y="26747959"/>
            <a:ext cx="331955" cy="942945"/>
            <a:chOff x="1564532" y="21536001"/>
            <a:chExt cx="331955" cy="952475"/>
          </a:xfrm>
        </xdr:grpSpPr>
        <xdr:sp macro="" textlink="">
          <xdr:nvSpPr>
            <xdr:cNvPr id="60" name="Arc 59">
              <a:extLst>
                <a:ext uri="{FF2B5EF4-FFF2-40B4-BE49-F238E27FC236}">
                  <a16:creationId xmlns:a16="http://schemas.microsoft.com/office/drawing/2014/main" id="{00000000-0008-0000-0C00-00003C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1" name="Arc 60">
              <a:extLst>
                <a:ext uri="{FF2B5EF4-FFF2-40B4-BE49-F238E27FC236}">
                  <a16:creationId xmlns:a16="http://schemas.microsoft.com/office/drawing/2014/main" id="{00000000-0008-0000-0C00-00003D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2" name="Arc 61">
              <a:extLst>
                <a:ext uri="{FF2B5EF4-FFF2-40B4-BE49-F238E27FC236}">
                  <a16:creationId xmlns:a16="http://schemas.microsoft.com/office/drawing/2014/main" id="{00000000-0008-0000-0C00-00003E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63" name="Arc 62">
              <a:extLst>
                <a:ext uri="{FF2B5EF4-FFF2-40B4-BE49-F238E27FC236}">
                  <a16:creationId xmlns:a16="http://schemas.microsoft.com/office/drawing/2014/main" id="{00000000-0008-0000-0C00-00003F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11</xdr:col>
      <xdr:colOff>171450</xdr:colOff>
      <xdr:row>273</xdr:row>
      <xdr:rowOff>161925</xdr:rowOff>
    </xdr:from>
    <xdr:to>
      <xdr:col>14</xdr:col>
      <xdr:colOff>152545</xdr:colOff>
      <xdr:row>279</xdr:row>
      <xdr:rowOff>38117</xdr:rowOff>
    </xdr:to>
    <xdr:grpSp>
      <xdr:nvGrpSpPr>
        <xdr:cNvPr id="68" name="Group 1">
          <a:extLst>
            <a:ext uri="{FF2B5EF4-FFF2-40B4-BE49-F238E27FC236}">
              <a16:creationId xmlns:a16="http://schemas.microsoft.com/office/drawing/2014/main" id="{00000000-0008-0000-0C00-000044000000}"/>
            </a:ext>
          </a:extLst>
        </xdr:cNvPr>
        <xdr:cNvGrpSpPr>
          <a:grpSpLocks/>
        </xdr:cNvGrpSpPr>
      </xdr:nvGrpSpPr>
      <xdr:grpSpPr bwMode="auto">
        <a:xfrm>
          <a:off x="3859530" y="47245905"/>
          <a:ext cx="986935" cy="882032"/>
          <a:chOff x="3409976" y="26491671"/>
          <a:chExt cx="952614" cy="893738"/>
        </a:xfrm>
      </xdr:grpSpPr>
      <xdr:grpSp>
        <xdr:nvGrpSpPr>
          <xdr:cNvPr id="69" name="Group 67">
            <a:extLst>
              <a:ext uri="{FF2B5EF4-FFF2-40B4-BE49-F238E27FC236}">
                <a16:creationId xmlns:a16="http://schemas.microsoft.com/office/drawing/2014/main" id="{00000000-0008-0000-0C00-000045000000}"/>
              </a:ext>
            </a:extLst>
          </xdr:cNvPr>
          <xdr:cNvGrpSpPr>
            <a:grpSpLocks/>
          </xdr:cNvGrpSpPr>
        </xdr:nvGrpSpPr>
        <xdr:grpSpPr bwMode="auto">
          <a:xfrm rot="-5400000">
            <a:off x="3715471" y="26186176"/>
            <a:ext cx="331959" cy="942949"/>
            <a:chOff x="1579927" y="21536029"/>
            <a:chExt cx="331959" cy="952473"/>
          </a:xfrm>
        </xdr:grpSpPr>
        <xdr:sp macro="" textlink="">
          <xdr:nvSpPr>
            <xdr:cNvPr id="75" name="Arc 74">
              <a:extLst>
                <a:ext uri="{FF2B5EF4-FFF2-40B4-BE49-F238E27FC236}">
                  <a16:creationId xmlns:a16="http://schemas.microsoft.com/office/drawing/2014/main" id="{00000000-0008-0000-0C00-00004B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6" name="Arc 75">
              <a:extLst>
                <a:ext uri="{FF2B5EF4-FFF2-40B4-BE49-F238E27FC236}">
                  <a16:creationId xmlns:a16="http://schemas.microsoft.com/office/drawing/2014/main" id="{00000000-0008-0000-0C00-00004C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7" name="Arc 76">
              <a:extLst>
                <a:ext uri="{FF2B5EF4-FFF2-40B4-BE49-F238E27FC236}">
                  <a16:creationId xmlns:a16="http://schemas.microsoft.com/office/drawing/2014/main" id="{00000000-0008-0000-0C00-00004D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8" name="Arc 77">
              <a:extLst>
                <a:ext uri="{FF2B5EF4-FFF2-40B4-BE49-F238E27FC236}">
                  <a16:creationId xmlns:a16="http://schemas.microsoft.com/office/drawing/2014/main" id="{00000000-0008-0000-0C00-00004E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70" name="Group 67">
            <a:extLst>
              <a:ext uri="{FF2B5EF4-FFF2-40B4-BE49-F238E27FC236}">
                <a16:creationId xmlns:a16="http://schemas.microsoft.com/office/drawing/2014/main" id="{00000000-0008-0000-0C00-000046000000}"/>
              </a:ext>
            </a:extLst>
          </xdr:cNvPr>
          <xdr:cNvGrpSpPr>
            <a:grpSpLocks/>
          </xdr:cNvGrpSpPr>
        </xdr:nvGrpSpPr>
        <xdr:grpSpPr bwMode="auto">
          <a:xfrm rot="5400000">
            <a:off x="3725140" y="26747959"/>
            <a:ext cx="331955" cy="942945"/>
            <a:chOff x="1564532" y="21536001"/>
            <a:chExt cx="331955" cy="952475"/>
          </a:xfrm>
        </xdr:grpSpPr>
        <xdr:sp macro="" textlink="">
          <xdr:nvSpPr>
            <xdr:cNvPr id="71" name="Arc 70">
              <a:extLst>
                <a:ext uri="{FF2B5EF4-FFF2-40B4-BE49-F238E27FC236}">
                  <a16:creationId xmlns:a16="http://schemas.microsoft.com/office/drawing/2014/main" id="{00000000-0008-0000-0C00-000047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2" name="Arc 71">
              <a:extLst>
                <a:ext uri="{FF2B5EF4-FFF2-40B4-BE49-F238E27FC236}">
                  <a16:creationId xmlns:a16="http://schemas.microsoft.com/office/drawing/2014/main" id="{00000000-0008-0000-0C00-000048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3" name="Arc 72">
              <a:extLst>
                <a:ext uri="{FF2B5EF4-FFF2-40B4-BE49-F238E27FC236}">
                  <a16:creationId xmlns:a16="http://schemas.microsoft.com/office/drawing/2014/main" id="{00000000-0008-0000-0C00-000049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74" name="Arc 73">
              <a:extLst>
                <a:ext uri="{FF2B5EF4-FFF2-40B4-BE49-F238E27FC236}">
                  <a16:creationId xmlns:a16="http://schemas.microsoft.com/office/drawing/2014/main" id="{00000000-0008-0000-0C00-00004A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6</xdr:col>
      <xdr:colOff>171450</xdr:colOff>
      <xdr:row>246</xdr:row>
      <xdr:rowOff>142875</xdr:rowOff>
    </xdr:from>
    <xdr:to>
      <xdr:col>9</xdr:col>
      <xdr:colOff>152545</xdr:colOff>
      <xdr:row>252</xdr:row>
      <xdr:rowOff>19067</xdr:rowOff>
    </xdr:to>
    <xdr:grpSp>
      <xdr:nvGrpSpPr>
        <xdr:cNvPr id="79" name="Group 1">
          <a:extLst>
            <a:ext uri="{FF2B5EF4-FFF2-40B4-BE49-F238E27FC236}">
              <a16:creationId xmlns:a16="http://schemas.microsoft.com/office/drawing/2014/main" id="{00000000-0008-0000-0C00-00004F000000}"/>
            </a:ext>
          </a:extLst>
        </xdr:cNvPr>
        <xdr:cNvGrpSpPr>
          <a:grpSpLocks/>
        </xdr:cNvGrpSpPr>
      </xdr:nvGrpSpPr>
      <xdr:grpSpPr bwMode="auto">
        <a:xfrm>
          <a:off x="2183130" y="42624375"/>
          <a:ext cx="986935" cy="882032"/>
          <a:chOff x="3409976" y="26491671"/>
          <a:chExt cx="952614" cy="893738"/>
        </a:xfrm>
      </xdr:grpSpPr>
      <xdr:grpSp>
        <xdr:nvGrpSpPr>
          <xdr:cNvPr id="80" name="Group 67">
            <a:extLst>
              <a:ext uri="{FF2B5EF4-FFF2-40B4-BE49-F238E27FC236}">
                <a16:creationId xmlns:a16="http://schemas.microsoft.com/office/drawing/2014/main" id="{00000000-0008-0000-0C00-000050000000}"/>
              </a:ext>
            </a:extLst>
          </xdr:cNvPr>
          <xdr:cNvGrpSpPr>
            <a:grpSpLocks/>
          </xdr:cNvGrpSpPr>
        </xdr:nvGrpSpPr>
        <xdr:grpSpPr bwMode="auto">
          <a:xfrm rot="-5400000">
            <a:off x="3715471" y="26186176"/>
            <a:ext cx="331959" cy="942949"/>
            <a:chOff x="1579927" y="21536029"/>
            <a:chExt cx="331959" cy="952473"/>
          </a:xfrm>
        </xdr:grpSpPr>
        <xdr:sp macro="" textlink="">
          <xdr:nvSpPr>
            <xdr:cNvPr id="86" name="Arc 85">
              <a:extLst>
                <a:ext uri="{FF2B5EF4-FFF2-40B4-BE49-F238E27FC236}">
                  <a16:creationId xmlns:a16="http://schemas.microsoft.com/office/drawing/2014/main" id="{00000000-0008-0000-0C00-000056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7" name="Arc 86">
              <a:extLst>
                <a:ext uri="{FF2B5EF4-FFF2-40B4-BE49-F238E27FC236}">
                  <a16:creationId xmlns:a16="http://schemas.microsoft.com/office/drawing/2014/main" id="{00000000-0008-0000-0C00-000057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8" name="Arc 87">
              <a:extLst>
                <a:ext uri="{FF2B5EF4-FFF2-40B4-BE49-F238E27FC236}">
                  <a16:creationId xmlns:a16="http://schemas.microsoft.com/office/drawing/2014/main" id="{00000000-0008-0000-0C00-000058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9" name="Arc 88">
              <a:extLst>
                <a:ext uri="{FF2B5EF4-FFF2-40B4-BE49-F238E27FC236}">
                  <a16:creationId xmlns:a16="http://schemas.microsoft.com/office/drawing/2014/main" id="{00000000-0008-0000-0C00-000059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81" name="Group 67">
            <a:extLst>
              <a:ext uri="{FF2B5EF4-FFF2-40B4-BE49-F238E27FC236}">
                <a16:creationId xmlns:a16="http://schemas.microsoft.com/office/drawing/2014/main" id="{00000000-0008-0000-0C00-000051000000}"/>
              </a:ext>
            </a:extLst>
          </xdr:cNvPr>
          <xdr:cNvGrpSpPr>
            <a:grpSpLocks/>
          </xdr:cNvGrpSpPr>
        </xdr:nvGrpSpPr>
        <xdr:grpSpPr bwMode="auto">
          <a:xfrm rot="5400000">
            <a:off x="3725140" y="26747959"/>
            <a:ext cx="331955" cy="942945"/>
            <a:chOff x="1564532" y="21536001"/>
            <a:chExt cx="331955" cy="952475"/>
          </a:xfrm>
        </xdr:grpSpPr>
        <xdr:sp macro="" textlink="">
          <xdr:nvSpPr>
            <xdr:cNvPr id="82" name="Arc 81">
              <a:extLst>
                <a:ext uri="{FF2B5EF4-FFF2-40B4-BE49-F238E27FC236}">
                  <a16:creationId xmlns:a16="http://schemas.microsoft.com/office/drawing/2014/main" id="{00000000-0008-0000-0C00-000052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3" name="Arc 82">
              <a:extLst>
                <a:ext uri="{FF2B5EF4-FFF2-40B4-BE49-F238E27FC236}">
                  <a16:creationId xmlns:a16="http://schemas.microsoft.com/office/drawing/2014/main" id="{00000000-0008-0000-0C00-000053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4" name="Arc 83">
              <a:extLst>
                <a:ext uri="{FF2B5EF4-FFF2-40B4-BE49-F238E27FC236}">
                  <a16:creationId xmlns:a16="http://schemas.microsoft.com/office/drawing/2014/main" id="{00000000-0008-0000-0C00-000054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85" name="Arc 84">
              <a:extLst>
                <a:ext uri="{FF2B5EF4-FFF2-40B4-BE49-F238E27FC236}">
                  <a16:creationId xmlns:a16="http://schemas.microsoft.com/office/drawing/2014/main" id="{00000000-0008-0000-0C00-000055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twoCellAnchor>
    <xdr:from>
      <xdr:col>11</xdr:col>
      <xdr:colOff>171450</xdr:colOff>
      <xdr:row>247</xdr:row>
      <xdr:rowOff>0</xdr:rowOff>
    </xdr:from>
    <xdr:to>
      <xdr:col>14</xdr:col>
      <xdr:colOff>152545</xdr:colOff>
      <xdr:row>252</xdr:row>
      <xdr:rowOff>47642</xdr:rowOff>
    </xdr:to>
    <xdr:grpSp>
      <xdr:nvGrpSpPr>
        <xdr:cNvPr id="90" name="Group 1">
          <a:extLst>
            <a:ext uri="{FF2B5EF4-FFF2-40B4-BE49-F238E27FC236}">
              <a16:creationId xmlns:a16="http://schemas.microsoft.com/office/drawing/2014/main" id="{00000000-0008-0000-0C00-00005A000000}"/>
            </a:ext>
          </a:extLst>
        </xdr:cNvPr>
        <xdr:cNvGrpSpPr>
          <a:grpSpLocks/>
        </xdr:cNvGrpSpPr>
      </xdr:nvGrpSpPr>
      <xdr:grpSpPr bwMode="auto">
        <a:xfrm>
          <a:off x="3859530" y="42649140"/>
          <a:ext cx="986935" cy="885842"/>
          <a:chOff x="3409976" y="26491671"/>
          <a:chExt cx="952614" cy="893738"/>
        </a:xfrm>
      </xdr:grpSpPr>
      <xdr:grpSp>
        <xdr:nvGrpSpPr>
          <xdr:cNvPr id="91" name="Group 67">
            <a:extLst>
              <a:ext uri="{FF2B5EF4-FFF2-40B4-BE49-F238E27FC236}">
                <a16:creationId xmlns:a16="http://schemas.microsoft.com/office/drawing/2014/main" id="{00000000-0008-0000-0C00-00005B000000}"/>
              </a:ext>
            </a:extLst>
          </xdr:cNvPr>
          <xdr:cNvGrpSpPr>
            <a:grpSpLocks/>
          </xdr:cNvGrpSpPr>
        </xdr:nvGrpSpPr>
        <xdr:grpSpPr bwMode="auto">
          <a:xfrm rot="-5400000">
            <a:off x="3715471" y="26186176"/>
            <a:ext cx="331959" cy="942949"/>
            <a:chOff x="1579927" y="21536029"/>
            <a:chExt cx="331959" cy="952473"/>
          </a:xfrm>
        </xdr:grpSpPr>
        <xdr:sp macro="" textlink="">
          <xdr:nvSpPr>
            <xdr:cNvPr id="97" name="Arc 96">
              <a:extLst>
                <a:ext uri="{FF2B5EF4-FFF2-40B4-BE49-F238E27FC236}">
                  <a16:creationId xmlns:a16="http://schemas.microsoft.com/office/drawing/2014/main" id="{00000000-0008-0000-0C00-000061000000}"/>
                </a:ext>
              </a:extLst>
            </xdr:cNvPr>
            <xdr:cNvSpPr/>
          </xdr:nvSpPr>
          <xdr:spPr bwMode="auto">
            <a:xfrm rot="16200000">
              <a:off x="1617134" y="22210773"/>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8" name="Arc 97">
              <a:extLst>
                <a:ext uri="{FF2B5EF4-FFF2-40B4-BE49-F238E27FC236}">
                  <a16:creationId xmlns:a16="http://schemas.microsoft.com/office/drawing/2014/main" id="{00000000-0008-0000-0C00-000062000000}"/>
                </a:ext>
              </a:extLst>
            </xdr:cNvPr>
            <xdr:cNvSpPr/>
          </xdr:nvSpPr>
          <xdr:spPr bwMode="auto">
            <a:xfrm rot="16200000">
              <a:off x="1621942" y="21975059"/>
              <a:ext cx="230903"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9" name="Arc 98">
              <a:extLst>
                <a:ext uri="{FF2B5EF4-FFF2-40B4-BE49-F238E27FC236}">
                  <a16:creationId xmlns:a16="http://schemas.microsoft.com/office/drawing/2014/main" id="{00000000-0008-0000-0C00-000063000000}"/>
                </a:ext>
              </a:extLst>
            </xdr:cNvPr>
            <xdr:cNvSpPr/>
          </xdr:nvSpPr>
          <xdr:spPr bwMode="auto">
            <a:xfrm rot="16200000">
              <a:off x="1629902" y="2173508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100" name="Arc 99">
              <a:extLst>
                <a:ext uri="{FF2B5EF4-FFF2-40B4-BE49-F238E27FC236}">
                  <a16:creationId xmlns:a16="http://schemas.microsoft.com/office/drawing/2014/main" id="{00000000-0008-0000-0C00-000064000000}"/>
                </a:ext>
              </a:extLst>
            </xdr:cNvPr>
            <xdr:cNvSpPr/>
          </xdr:nvSpPr>
          <xdr:spPr bwMode="auto">
            <a:xfrm rot="16200000">
              <a:off x="1625646" y="21498824"/>
              <a:ext cx="240524" cy="314933"/>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nvGrpSpPr>
          <xdr:cNvPr id="92" name="Group 67">
            <a:extLst>
              <a:ext uri="{FF2B5EF4-FFF2-40B4-BE49-F238E27FC236}">
                <a16:creationId xmlns:a16="http://schemas.microsoft.com/office/drawing/2014/main" id="{00000000-0008-0000-0C00-00005C000000}"/>
              </a:ext>
            </a:extLst>
          </xdr:cNvPr>
          <xdr:cNvGrpSpPr>
            <a:grpSpLocks/>
          </xdr:cNvGrpSpPr>
        </xdr:nvGrpSpPr>
        <xdr:grpSpPr bwMode="auto">
          <a:xfrm rot="5400000">
            <a:off x="3725140" y="26747959"/>
            <a:ext cx="331955" cy="942945"/>
            <a:chOff x="1564532" y="21536001"/>
            <a:chExt cx="331955" cy="952475"/>
          </a:xfrm>
        </xdr:grpSpPr>
        <xdr:sp macro="" textlink="">
          <xdr:nvSpPr>
            <xdr:cNvPr id="93" name="Arc 92">
              <a:extLst>
                <a:ext uri="{FF2B5EF4-FFF2-40B4-BE49-F238E27FC236}">
                  <a16:creationId xmlns:a16="http://schemas.microsoft.com/office/drawing/2014/main" id="{00000000-0008-0000-0C00-00005D000000}"/>
                </a:ext>
              </a:extLst>
            </xdr:cNvPr>
            <xdr:cNvSpPr/>
          </xdr:nvSpPr>
          <xdr:spPr bwMode="auto">
            <a:xfrm rot="16200000">
              <a:off x="1618759" y="22210748"/>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4" name="Arc 93">
              <a:extLst>
                <a:ext uri="{FF2B5EF4-FFF2-40B4-BE49-F238E27FC236}">
                  <a16:creationId xmlns:a16="http://schemas.microsoft.com/office/drawing/2014/main" id="{00000000-0008-0000-0C00-00005E000000}"/>
                </a:ext>
              </a:extLst>
            </xdr:cNvPr>
            <xdr:cNvSpPr/>
          </xdr:nvSpPr>
          <xdr:spPr bwMode="auto">
            <a:xfrm rot="16200000">
              <a:off x="1615058" y="21984660"/>
              <a:ext cx="230903"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5" name="Arc 94">
              <a:extLst>
                <a:ext uri="{FF2B5EF4-FFF2-40B4-BE49-F238E27FC236}">
                  <a16:creationId xmlns:a16="http://schemas.microsoft.com/office/drawing/2014/main" id="{00000000-0008-0000-0C00-00005F000000}"/>
                </a:ext>
              </a:extLst>
            </xdr:cNvPr>
            <xdr:cNvSpPr/>
          </xdr:nvSpPr>
          <xdr:spPr bwMode="auto">
            <a:xfrm rot="16200000">
              <a:off x="1605992" y="21735065"/>
              <a:ext cx="240524" cy="323444"/>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sp macro="" textlink="">
          <xdr:nvSpPr>
            <xdr:cNvPr id="96" name="Arc 95">
              <a:extLst>
                <a:ext uri="{FF2B5EF4-FFF2-40B4-BE49-F238E27FC236}">
                  <a16:creationId xmlns:a16="http://schemas.microsoft.com/office/drawing/2014/main" id="{00000000-0008-0000-0C00-000060000000}"/>
                </a:ext>
              </a:extLst>
            </xdr:cNvPr>
            <xdr:cNvSpPr/>
          </xdr:nvSpPr>
          <xdr:spPr bwMode="auto">
            <a:xfrm rot="16200000">
              <a:off x="1610247" y="21498797"/>
              <a:ext cx="240524" cy="314932"/>
            </a:xfrm>
            <a:prstGeom prst="arc">
              <a:avLst>
                <a:gd name="adj1" fmla="val 11084176"/>
                <a:gd name="adj2" fmla="val 0"/>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endParaRPr lang="en-US"/>
            </a:p>
          </xdr:txBody>
        </xdr:sp>
      </xdr:grpSp>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6</xdr:row>
          <xdr:rowOff>30480</xdr:rowOff>
        </xdr:from>
        <xdr:to>
          <xdr:col>1</xdr:col>
          <xdr:colOff>533400</xdr:colOff>
          <xdr:row>6</xdr:row>
          <xdr:rowOff>342900</xdr:rowOff>
        </xdr:to>
        <xdr:sp macro="" textlink="">
          <xdr:nvSpPr>
            <xdr:cNvPr id="63489" name="BID1_SEL411L_btn" hidden="1">
              <a:extLst>
                <a:ext uri="{63B3BB69-23CF-44E3-9099-C40C66FF867C}">
                  <a14:compatExt spid="_x0000_s63489"/>
                </a:ext>
                <a:ext uri="{FF2B5EF4-FFF2-40B4-BE49-F238E27FC236}">
                  <a16:creationId xmlns:a16="http://schemas.microsoft.com/office/drawing/2014/main" id="{00000000-0008-0000-13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251460</xdr:colOff>
          <xdr:row>1</xdr:row>
          <xdr:rowOff>152400</xdr:rowOff>
        </xdr:from>
        <xdr:to>
          <xdr:col>4</xdr:col>
          <xdr:colOff>480060</xdr:colOff>
          <xdr:row>3</xdr:row>
          <xdr:rowOff>137160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8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Create Export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1</xdr:row>
          <xdr:rowOff>60960</xdr:rowOff>
        </xdr:from>
        <xdr:to>
          <xdr:col>4</xdr:col>
          <xdr:colOff>594360</xdr:colOff>
          <xdr:row>5</xdr:row>
          <xdr:rowOff>60960</xdr:rowOff>
        </xdr:to>
        <xdr:sp macro="" textlink="">
          <xdr:nvSpPr>
            <xdr:cNvPr id="11268" name="Group Box 4" hidden="1">
              <a:extLst>
                <a:ext uri="{63B3BB69-23CF-44E3-9099-C40C66FF867C}">
                  <a14:compatExt spid="_x0000_s11268"/>
                </a:ext>
                <a:ext uri="{FF2B5EF4-FFF2-40B4-BE49-F238E27FC236}">
                  <a16:creationId xmlns:a16="http://schemas.microsoft.com/office/drawing/2014/main" id="{00000000-0008-0000-1800-000004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IN" sz="800" b="0" i="0" u="none" strike="noStrike" baseline="0">
                  <a:solidFill>
                    <a:srgbClr val="000000"/>
                  </a:solidFill>
                  <a:latin typeface="Tahoma"/>
                  <a:ea typeface="Tahoma"/>
                  <a:cs typeface="Tahoma"/>
                </a:rPr>
                <a:t>Control Panel</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30480</xdr:colOff>
          <xdr:row>2</xdr:row>
          <xdr:rowOff>22860</xdr:rowOff>
        </xdr:from>
        <xdr:to>
          <xdr:col>6</xdr:col>
          <xdr:colOff>60960</xdr:colOff>
          <xdr:row>3</xdr:row>
          <xdr:rowOff>152400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A00-000002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Create export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518160</xdr:colOff>
          <xdr:row>1</xdr:row>
          <xdr:rowOff>22860</xdr:rowOff>
        </xdr:from>
        <xdr:to>
          <xdr:col>6</xdr:col>
          <xdr:colOff>220980</xdr:colOff>
          <xdr:row>4</xdr:row>
          <xdr:rowOff>114300</xdr:rowOff>
        </xdr:to>
        <xdr:sp macro="" textlink="">
          <xdr:nvSpPr>
            <xdr:cNvPr id="25603" name="Group Box 3" hidden="1">
              <a:extLst>
                <a:ext uri="{63B3BB69-23CF-44E3-9099-C40C66FF867C}">
                  <a14:compatExt spid="_x0000_s25603"/>
                </a:ext>
                <a:ext uri="{FF2B5EF4-FFF2-40B4-BE49-F238E27FC236}">
                  <a16:creationId xmlns:a16="http://schemas.microsoft.com/office/drawing/2014/main" id="{00000000-0008-0000-1A00-000003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IN" sz="800" b="0" i="0" u="none" strike="noStrike" baseline="0">
                  <a:solidFill>
                    <a:srgbClr val="000000"/>
                  </a:solidFill>
                  <a:latin typeface="Tahoma"/>
                  <a:ea typeface="Tahoma"/>
                  <a:cs typeface="Tahoma"/>
                </a:rPr>
                <a:t>Control Panel</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106335</xdr:colOff>
      <xdr:row>0</xdr:row>
      <xdr:rowOff>121793</xdr:rowOff>
    </xdr:from>
    <xdr:to>
      <xdr:col>18</xdr:col>
      <xdr:colOff>295864</xdr:colOff>
      <xdr:row>45</xdr:row>
      <xdr:rowOff>78328</xdr:rowOff>
    </xdr:to>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entergy-my.sharepoint.com/personal/mquinte_entergy_com/Documents/Entergy-Work-Sync/Line-Calcsheet-Update-2025/Working/Copy%20of%20D%20CM1703%20Line%20Protection%20Calculation%20Sheet%20(421)_Evaluation_Window7_Rev%20MSU%201%20(3).xlsm?F52FF004" TargetMode="External"/><Relationship Id="rId1" Type="http://schemas.openxmlformats.org/officeDocument/2006/relationships/externalLinkPath" Target="file:///\\F52FF004\Copy%20of%20D%20CM1703%20Line%20Protection%20Calculation%20Sheet%20(421)_Evaluation_Window7_Rev%20MSU%201%2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Data Entry"/>
      <sheetName val="2) Project System"/>
      <sheetName val="3) Fault Analysis"/>
      <sheetName val="4) Infeed"/>
      <sheetName val="5) Zone Imp"/>
      <sheetName val="6) BF Fault Det"/>
      <sheetName val="BF Fault Det (2)"/>
      <sheetName val="16) Summary Sheet2"/>
      <sheetName val="7) Relay Calc"/>
      <sheetName val="8) Voltage Calcs"/>
      <sheetName val="9) Aspen Impedances"/>
      <sheetName val="10) References"/>
      <sheetName val="11) Notes &amp; Additional Calcs"/>
      <sheetName val="12) Export SEL 421-3"/>
      <sheetName val="13) Summary Sheet"/>
      <sheetName val="Backup"/>
      <sheetName val="Export SEl 311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persons/person.xml><?xml version="1.0" encoding="utf-8"?>
<personList xmlns="http://schemas.microsoft.com/office/spreadsheetml/2018/threadedcomments" xmlns:x="http://schemas.openxmlformats.org/spreadsheetml/2006/main">
  <person displayName="Quinteros, Milton" id="{1A2E1D8F-F22A-4AF9-B729-63F9FE7EF006}" userId="S::mquinte@entergy.com::d047cf00-f463-49e5-a06d-d159e9c9f70c"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F97ABC-ADA7-44DD-A151-5B8553F0F61B}" name="PRC025SYNC" displayName="PRC025SYNC" ref="A4:F21" totalsRowShown="0" headerRowDxfId="53" dataDxfId="51" headerRowBorderDxfId="52" tableBorderDxfId="50">
  <autoFilter ref="A4:F21" xr:uid="{A6B27AE2-D2AC-4869-8A59-E714FEC23C48}"/>
  <tableColumns count="6">
    <tableColumn id="1" xr3:uid="{E9F4C2F8-3758-44DA-A565-09549E1EAC3F}" name="Generator Name" dataDxfId="49"/>
    <tableColumn id="2" xr3:uid="{9AF0F128-43F7-43EF-B5A7-CBF7964C7B89}" name="MVA" dataDxfId="48"/>
    <tableColumn id="3" xr3:uid="{6D5C68BA-9486-4E77-9F73-D78BAFB73C00}" name="Real Power Reported to Planner in MW (T1.14a)" dataDxfId="47"/>
    <tableColumn id="5" xr3:uid="{9D013145-47C3-42CF-989C-E907214D1FEB}" name="Generator Rated Power Factor" dataDxfId="46"/>
    <tableColumn id="6" xr3:uid="{9250B0EF-713B-48A8-8C66-C95C0DBD398B}" name="Generator Reactive Power Flow Per Simulation in MVAR_x000a_(T1.14b)" dataDxfId="45"/>
    <tableColumn id="7" xr3:uid="{C84359D6-E6FA-4910-BE90-30D484A00D16}" name="Generator Rated Real Power in MW (calculated)" dataDxfId="4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76D61B-10C2-478A-8871-AE537B3389EC}" name="PRC025ASYNC" displayName="PRC025ASYNC" ref="I4:P21" totalsRowShown="0" headerRowDxfId="43" dataDxfId="41" headerRowBorderDxfId="42" tableBorderDxfId="40">
  <autoFilter ref="I4:P21" xr:uid="{8FC09FF4-E63C-4C3A-93EA-116DEA15A516}"/>
  <tableColumns count="8">
    <tableColumn id="1" xr3:uid="{D4296DA5-B2C4-493B-95CC-B3427E9B7517}" name="Asynchronous Generator Name or Static/Dynamic Device Name" dataDxfId="39"/>
    <tableColumn id="2" xr3:uid="{0B57F283-EA4D-4B43-B96A-B77409BE577C}" name="Asynchronous Generator MVA " dataDxfId="38"/>
    <tableColumn id="9" xr3:uid="{C8583048-1B5A-46C7-A9F8-C9FE8140EF9A}" name="Qty Asynchronous Generators" dataDxfId="37"/>
    <tableColumn id="3" xr3:uid="{70CE7D9E-2F58-4D95-9B76-938A5239B6E5}" name="Total Asynchronour Generators MVA" dataDxfId="36">
      <calculatedColumnFormula>IF(PRC025ASYNC[[#This Row],[Asynchronous Generator MVA ]]="","",PRC025ASYNC[[#This Row],[Asynchronous Generator MVA ]]*PRC025ASYNC[[#This Row],[Qty Asynchronous Generators]])</calculatedColumnFormula>
    </tableColumn>
    <tableColumn id="5" xr3:uid="{2E39E5EC-C7FF-4D8B-B885-DBDFD89A7EB4}" name="Asynchronous Generator Rated Power Factor" dataDxfId="35"/>
    <tableColumn id="6" xr3:uid="{653BE717-8F7D-4059-8D9B-C55345B91C86}" name="Static/Dynamic Devices  Reactive Power in MVAR that contribute to power flow" dataDxfId="34"/>
    <tableColumn id="7" xr3:uid="{35F6F059-5ED5-4363-9783-DA192C282AAA}" name="Asynchronous Generator Rated Real Power in MW (calculated)" dataDxfId="33"/>
    <tableColumn id="8" xr3:uid="{B30A79A9-D95E-4E04-A869-FAC959CC7175}" name="Asynchronous Generator Rated Real Power in MVAR (calculated)" dataDxfId="32">
      <calculatedColumnFormula>IF(PRC025ASYNC[[#This Row],[Static/Dynamic Devices  Reactive Power in MVAR that contribute to power flow]]="",PRC025ASYNC[[#This Row],[Asynchronous Generator MVA ]]*SIN(ACOS(PRC025ASYNC[[#This Row],[Asynchronous Generator Rated Power Factor]])),0)</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D75FB06-4718-4297-81B4-3BFB95019638}" name="SDA_TABLE" displayName="SDA_TABLE" ref="A1:Z341" totalsRowShown="0" headerRowDxfId="1" headerRowCellStyle="Normal 5" dataCellStyle="Normal 5">
  <autoFilter ref="A1:Z341" xr:uid="{C4E825F1-FD61-48E7-A298-5D180FB091D4}"/>
  <tableColumns count="26">
    <tableColumn id="1" xr3:uid="{4FD172E6-6FFA-404D-8D23-5C1039025CA2}" name="Unique Identifier" dataDxfId="0" dataCellStyle="Normal 5">
      <calculatedColumnFormula>_xlfn.CONCAT(B2, " ; ", C2)</calculatedColumnFormula>
    </tableColumn>
    <tableColumn id="2" xr3:uid="{7AFA7EA3-9986-4EE0-8921-9D4DEBE688E1}" name="CAPE Output Section" dataCellStyle="Normal 5"/>
    <tableColumn id="3" xr3:uid="{199F38A4-8C90-4BF2-ADE6-DAAC260FD409}" name="CAPE Output Identifier" dataCellStyle="Normal 5"/>
    <tableColumn id="4" xr3:uid="{A99FB2D5-EF21-4398-944E-F7DF6C1A04B8}" name="Calculation Sheets Reference (Optional)" dataCellStyle="Normal 5"/>
    <tableColumn id="5" xr3:uid="{50F73C11-C422-4703-9DD4-F026F07C9982}" name="Link to Raw Results" dataCellStyle="Normal 5"/>
    <tableColumn id="6" xr3:uid="{12BC7AEB-BB31-4007-B569-FFE438815830}" name="Formula 1" dataCellStyle="Normal 5"/>
    <tableColumn id="7" xr3:uid="{A998FF02-4EF7-4875-96FD-B8A46DF38D7E}" name="Value 1" dataCellStyle="Normal 5"/>
    <tableColumn id="8" xr3:uid="{B96D7C3A-55D8-4D7E-9A77-7D40B403E3E0}" name="Formula 2" dataCellStyle="Normal 5"/>
    <tableColumn id="9" xr3:uid="{C70572CC-D3F0-4304-889B-CFD963E08EB8}" name="Value 2" dataCellStyle="Normal 5"/>
    <tableColumn id="10" xr3:uid="{D3B08597-163C-4DB3-937F-3FC083600A34}" name="Formula 3" dataCellStyle="Normal 5"/>
    <tableColumn id="11" xr3:uid="{7CE7FF51-747A-45BC-A66B-F9BA01276B81}" name="Value 3" dataCellStyle="Normal 5"/>
    <tableColumn id="12" xr3:uid="{94AC88C7-EDB2-455D-8D96-229D4B7B4F07}" name="Formula 4" dataCellStyle="Normal 5"/>
    <tableColumn id="13" xr3:uid="{22F76EFC-7384-484D-B267-B2A4E28B1E42}" name="Value 4" dataCellStyle="Normal 5"/>
    <tableColumn id="14" xr3:uid="{8E541CF6-5BA7-417F-BCED-2FE024A21EB6}" name="Formula 5" dataCellStyle="Normal 5"/>
    <tableColumn id="15" xr3:uid="{D516ED34-291A-42BF-AD86-98B71A4D915D}" name="Value 5" dataCellStyle="Normal 5"/>
    <tableColumn id="16" xr3:uid="{92FB377C-C02D-4A49-95A7-C81E8612326B}" name="Formula 6" dataCellStyle="Normal 5"/>
    <tableColumn id="17" xr3:uid="{877B217A-1AFA-4675-924A-B95DECB9DCEF}" name="Value 6" dataCellStyle="Normal 5"/>
    <tableColumn id="18" xr3:uid="{95E2D5BE-59BE-4CC3-BA3D-9052EB1F2F19}" name="Formula 7" dataCellStyle="Normal 5"/>
    <tableColumn id="19" xr3:uid="{2E457381-5CD1-4FF8-872D-91A028A20138}" name="Value 7" dataCellStyle="Normal 5"/>
    <tableColumn id="20" xr3:uid="{4CB616FA-376E-4F6B-90A0-8CACB2890A4A}" name="Formula 8" dataCellStyle="Normal 5"/>
    <tableColumn id="21" xr3:uid="{6B0B1734-CBC2-4CB3-98E1-CB781F958B86}" name="Value 8" dataCellStyle="Normal 5"/>
    <tableColumn id="22" xr3:uid="{7602539F-CBBF-4B8A-B64E-5BC5A5FBCD94}" name="Formula 9" dataCellStyle="Normal 5"/>
    <tableColumn id="23" xr3:uid="{0D9C4E6F-C489-4E68-AFA2-7D60E313F926}" name="Value 9" dataCellStyle="Normal 5"/>
    <tableColumn id="24" xr3:uid="{3B781220-3424-40E0-B228-6793A7BDBBE4}" name="Formula 10" dataCellStyle="Normal 5"/>
    <tableColumn id="25" xr3:uid="{B10B072E-C491-4007-B8D8-4C4A27FE2AFF}" name="Value 10" dataCellStyle="Normal 5"/>
    <tableColumn id="26" xr3:uid="{430C99D0-20C7-4F4A-8BD4-2AC44FBA4026}" name="Warnings" dataCellStyle="Normal 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A342" dT="2020-02-27T16:25:05.85" personId="{1A2E1D8F-F22A-4AF9-B729-63F9FE7EF006}" id="{F2A93285-E7E0-4699-801F-BA56B8AC0720}">
    <text>Table for dropdown list E34 to select the Relay Loadability Criteria</text>
  </threadedComment>
</ThreadedComments>
</file>

<file path=xl/threadedComments/threadedComment2.xml><?xml version="1.0" encoding="utf-8"?>
<ThreadedComments xmlns="http://schemas.microsoft.com/office/spreadsheetml/2018/threadedcomments" xmlns:x="http://schemas.openxmlformats.org/spreadsheetml/2006/main">
  <threadedComment ref="K17" dT="2020-03-05T21:50:37.87" personId="{1A2E1D8F-F22A-4AF9-B729-63F9FE7EF006}" id="{75EC43B7-972C-43B6-99DC-4E8DA66A32BC}">
    <text>Need to reword this message</text>
  </threadedComment>
  <threadedComment ref="K20" dT="2020-03-05T21:52:55.50" personId="{1A2E1D8F-F22A-4AF9-B729-63F9FE7EF006}" id="{D053F761-FFE9-4425-AC85-C39A332AD898}">
    <text>Contradicts the note on the left. The one on the right is the correct one.  It should be without infeed. Note. Without infeed.</text>
  </threadedComment>
</ThreadedComments>
</file>

<file path=xl/threadedComments/threadedComment3.xml><?xml version="1.0" encoding="utf-8"?>
<ThreadedComments xmlns="http://schemas.microsoft.com/office/spreadsheetml/2018/threadedcomments" xmlns:x="http://schemas.openxmlformats.org/spreadsheetml/2006/main">
  <threadedComment ref="G108" dT="2020-04-15T16:13:44.34" personId="{1A2E1D8F-F22A-4AF9-B729-63F9FE7EF006}" id="{46274475-A3C0-44EE-8EDB-99EC3147D834}">
    <text>changed from 40 to 25%</text>
  </threadedComment>
  <threadedComment ref="G112" dT="2020-03-05T21:40:29.01" personId="{1A2E1D8F-F22A-4AF9-B729-63F9FE7EF006}" id="{C46AB73D-8321-4E2C-8DF0-76D5A9959A10}">
    <text>change margin to 25% when we have only distance relay no differential.</text>
  </threadedComment>
  <threadedComment ref="G112" dT="2020-03-05T21:42:19.76" personId="{1A2E1D8F-F22A-4AF9-B729-63F9FE7EF006}" id="{3EA04437-F3A8-4902-8327-7F337EE51063}" parentId="{C46AB73D-8321-4E2C-8DF0-76D5A9959A10}">
    <text>We will change to be default 25% no matter what relay we have.</text>
  </threadedComment>
</ThreadedComments>
</file>

<file path=xl/threadedComments/threadedComment4.xml><?xml version="1.0" encoding="utf-8"?>
<ThreadedComments xmlns="http://schemas.microsoft.com/office/spreadsheetml/2018/threadedcomments" xmlns:x="http://schemas.openxmlformats.org/spreadsheetml/2006/main">
  <threadedComment ref="S58" dT="2020-04-15T16:39:52.08" personId="{1A2E1D8F-F22A-4AF9-B729-63F9FE7EF006}" id="{CBE321F7-18D2-4918-8798-DCE78FA1EE1E}">
    <text>Added logic to be max 16amps for 51pp</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microsoft.com/office/2017/10/relationships/threadedComment" Target="../threadedComments/threadedComment1.xml"/><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4.vsdx"/><Relationship Id="rId13" Type="http://schemas.openxmlformats.org/officeDocument/2006/relationships/image" Target="../media/image7.emf"/><Relationship Id="rId18" Type="http://schemas.openxmlformats.org/officeDocument/2006/relationships/package" Target="../embeddings/Microsoft_Visio_Drawing.vsdx"/><Relationship Id="rId3" Type="http://schemas.openxmlformats.org/officeDocument/2006/relationships/vmlDrawing" Target="../drawings/vmlDrawing2.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package" Target="../embeddings/Microsoft_Visio_Drawing6.vsdx"/><Relationship Id="rId17" Type="http://schemas.openxmlformats.org/officeDocument/2006/relationships/image" Target="../media/image9.emf"/><Relationship Id="rId25" Type="http://schemas.microsoft.com/office/2017/10/relationships/threadedComment" Target="../threadedComments/threadedComment2.xml"/><Relationship Id="rId2" Type="http://schemas.openxmlformats.org/officeDocument/2006/relationships/drawing" Target="../drawings/drawing2.xml"/><Relationship Id="rId16" Type="http://schemas.openxmlformats.org/officeDocument/2006/relationships/package" Target="../embeddings/Microsoft_Visio_Drawing8.vsdx"/><Relationship Id="rId20" Type="http://schemas.openxmlformats.org/officeDocument/2006/relationships/package" Target="../embeddings/Microsoft_Visio_Drawing1.vsdx"/><Relationship Id="rId1" Type="http://schemas.openxmlformats.org/officeDocument/2006/relationships/printerSettings" Target="../printerSettings/printerSettings5.bin"/><Relationship Id="rId6" Type="http://schemas.openxmlformats.org/officeDocument/2006/relationships/package" Target="../embeddings/Microsoft_Visio_Drawing3.vsdx"/><Relationship Id="rId11" Type="http://schemas.openxmlformats.org/officeDocument/2006/relationships/image" Target="../media/image6.emf"/><Relationship Id="rId24" Type="http://schemas.openxmlformats.org/officeDocument/2006/relationships/comments" Target="../comments2.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package" Target="../embeddings/Microsoft_Visio_Drawing5.vsdx"/><Relationship Id="rId19" Type="http://schemas.openxmlformats.org/officeDocument/2006/relationships/image" Target="../media/image10.emf"/><Relationship Id="rId4" Type="http://schemas.openxmlformats.org/officeDocument/2006/relationships/package" Target="../embeddings/Microsoft_Visio_Drawing2.vsdx"/><Relationship Id="rId9" Type="http://schemas.openxmlformats.org/officeDocument/2006/relationships/image" Target="../media/image5.emf"/><Relationship Id="rId14" Type="http://schemas.openxmlformats.org/officeDocument/2006/relationships/package" Target="../embeddings/Microsoft_Visio_Drawing17.vsdx"/><Relationship Id="rId22" Type="http://schemas.openxmlformats.org/officeDocument/2006/relationships/package" Target="../embeddings/Microsoft_Visio_Drawing7.vsdx"/></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0.bin"/><Relationship Id="rId5" Type="http://schemas.openxmlformats.org/officeDocument/2006/relationships/image" Target="../media/image15.emf"/><Relationship Id="rId4" Type="http://schemas.openxmlformats.org/officeDocument/2006/relationships/control" Target="../activeX/activeX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2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27.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BL877"/>
  <sheetViews>
    <sheetView showGridLines="0" tabSelected="1" topLeftCell="A57" zoomScaleNormal="100" zoomScaleSheetLayoutView="100" workbookViewId="0"/>
  </sheetViews>
  <sheetFormatPr defaultColWidth="6.44140625" defaultRowHeight="12" customHeight="1"/>
  <cols>
    <col min="1" max="1" width="14.44140625" customWidth="1"/>
    <col min="2" max="2" width="8.88671875" style="33" customWidth="1"/>
    <col min="3" max="3" width="9.33203125" style="33" customWidth="1"/>
    <col min="4" max="4" width="10.44140625" style="37" customWidth="1"/>
    <col min="5" max="5" width="10" style="53" customWidth="1"/>
    <col min="6" max="6" width="10.88671875" style="51" customWidth="1"/>
    <col min="7" max="7" width="4.33203125" style="36" customWidth="1"/>
    <col min="8" max="8" width="9.5546875" style="37" customWidth="1"/>
    <col min="9" max="9" width="11" customWidth="1"/>
    <col min="10" max="10" width="3.6640625" style="20" customWidth="1"/>
    <col min="11" max="11" width="10.88671875" style="38" customWidth="1"/>
    <col min="12" max="12" width="8" customWidth="1"/>
    <col min="13" max="13" width="11" customWidth="1"/>
    <col min="14" max="14" width="9.5546875" customWidth="1"/>
    <col min="15" max="15" width="11" customWidth="1"/>
    <col min="16" max="16" width="6.5546875" customWidth="1"/>
    <col min="17" max="17" width="11.109375" bestFit="1" customWidth="1"/>
    <col min="18" max="18" width="4" customWidth="1"/>
    <col min="19" max="19" width="11.109375" customWidth="1"/>
    <col min="20" max="20" width="5.109375" customWidth="1"/>
    <col min="21" max="21" width="8.109375" customWidth="1"/>
    <col min="22" max="22" width="2.6640625" customWidth="1"/>
    <col min="23" max="23" width="10.33203125" customWidth="1"/>
    <col min="24" max="26" width="6.44140625" customWidth="1"/>
    <col min="27" max="27" width="35.6640625" customWidth="1"/>
    <col min="28" max="28" width="15.88671875" customWidth="1"/>
    <col min="29" max="29" width="15.33203125" customWidth="1"/>
    <col min="30" max="30" width="14.44140625" customWidth="1"/>
    <col min="31" max="31" width="12.6640625" customWidth="1"/>
    <col min="32" max="32" width="9.6640625" customWidth="1"/>
    <col min="33" max="33" width="9.88671875" customWidth="1"/>
    <col min="34" max="34" width="10.109375" customWidth="1"/>
    <col min="35" max="35" width="12.33203125" customWidth="1"/>
    <col min="36" max="36" width="14.6640625" customWidth="1"/>
    <col min="37" max="37" width="16.5546875" customWidth="1"/>
    <col min="38" max="38" width="27.109375" customWidth="1"/>
    <col min="39" max="39" width="12.109375" customWidth="1"/>
    <col min="40" max="40" width="9.5546875" customWidth="1"/>
    <col min="41" max="41" width="9" customWidth="1"/>
    <col min="42" max="43" width="6.44140625" customWidth="1"/>
    <col min="44" max="44" width="10.5546875" bestFit="1" customWidth="1"/>
    <col min="45" max="45" width="14.6640625" bestFit="1" customWidth="1"/>
    <col min="46" max="46" width="14.44140625" bestFit="1" customWidth="1"/>
    <col min="47" max="47" width="7.44140625" bestFit="1" customWidth="1"/>
    <col min="48" max="50" width="7.5546875" bestFit="1" customWidth="1"/>
    <col min="51" max="53" width="6.44140625" customWidth="1"/>
    <col min="54" max="54" width="17" customWidth="1"/>
    <col min="55" max="55" width="6.44140625" customWidth="1"/>
    <col min="56" max="56" width="15" customWidth="1"/>
    <col min="57" max="57" width="9.6640625" customWidth="1"/>
    <col min="58" max="58" width="13.5546875" customWidth="1"/>
    <col min="59" max="59" width="12.44140625" customWidth="1"/>
    <col min="60" max="65" width="9.88671875" customWidth="1"/>
  </cols>
  <sheetData>
    <row r="1" spans="1:44" s="7" customFormat="1" ht="18" customHeight="1">
      <c r="A1" s="1" t="s">
        <v>0</v>
      </c>
      <c r="B1" s="2"/>
      <c r="C1" s="2"/>
      <c r="D1" s="3"/>
      <c r="E1" s="4"/>
      <c r="F1" s="5"/>
      <c r="G1" s="6"/>
      <c r="H1" s="3"/>
      <c r="J1" s="5"/>
      <c r="K1" s="8" t="s">
        <v>1</v>
      </c>
      <c r="O1" s="9"/>
      <c r="P1" s="9"/>
      <c r="Q1" s="9"/>
      <c r="R1" s="9"/>
      <c r="S1" s="9"/>
      <c r="T1" s="9"/>
      <c r="U1" s="9"/>
    </row>
    <row r="2" spans="1:44" s="14" customFormat="1" ht="12" customHeight="1">
      <c r="A2" s="10"/>
      <c r="B2" s="2"/>
      <c r="C2" s="2"/>
      <c r="D2" s="3"/>
      <c r="E2" s="4"/>
      <c r="F2" s="11"/>
      <c r="G2" s="12"/>
      <c r="H2" s="13"/>
      <c r="J2" s="11"/>
      <c r="M2" s="15"/>
      <c r="O2" s="16"/>
      <c r="P2" s="16"/>
      <c r="Q2" s="16"/>
      <c r="R2" s="16"/>
      <c r="S2" s="16"/>
      <c r="T2" s="16"/>
      <c r="U2" s="16"/>
    </row>
    <row r="3" spans="1:44" ht="12" customHeight="1">
      <c r="A3" s="17" t="s">
        <v>2</v>
      </c>
      <c r="B3" s="18"/>
      <c r="C3" s="18"/>
      <c r="D3" s="18"/>
      <c r="E3" s="18"/>
      <c r="F3" s="19"/>
      <c r="G3" s="1583"/>
      <c r="H3" s="1584"/>
      <c r="I3" s="1585"/>
      <c r="J3" s="364"/>
      <c r="K3" s="1050"/>
      <c r="M3" s="1583"/>
      <c r="N3" s="1584"/>
      <c r="O3" s="1585"/>
      <c r="R3" s="587" t="s">
        <v>3</v>
      </c>
      <c r="S3" s="1122"/>
      <c r="T3" s="21"/>
      <c r="U3" s="22"/>
    </row>
    <row r="4" spans="1:44" ht="12" customHeight="1">
      <c r="A4" s="23"/>
      <c r="B4" s="23"/>
      <c r="C4" s="24"/>
      <c r="D4" s="25"/>
      <c r="E4" s="26"/>
      <c r="F4" s="27"/>
      <c r="G4" s="1586" t="s">
        <v>4</v>
      </c>
      <c r="H4" s="1586"/>
      <c r="I4" s="1586"/>
      <c r="J4" s="28"/>
      <c r="K4" s="579" t="s">
        <v>5</v>
      </c>
      <c r="L4" s="26"/>
      <c r="M4" s="1586" t="s">
        <v>6</v>
      </c>
      <c r="N4" s="1586"/>
      <c r="O4" s="1586"/>
      <c r="P4" s="1123"/>
      <c r="Q4" s="26"/>
      <c r="R4" s="587" t="s">
        <v>7</v>
      </c>
      <c r="S4" s="860"/>
      <c r="T4" s="30"/>
      <c r="U4" s="22"/>
    </row>
    <row r="5" spans="1:44" ht="12" customHeight="1" thickBot="1">
      <c r="A5" s="31"/>
      <c r="B5" s="23"/>
      <c r="C5" s="24"/>
      <c r="D5" s="25"/>
      <c r="E5" s="26"/>
      <c r="F5" s="27"/>
      <c r="J5" s="28"/>
      <c r="K5" s="26"/>
      <c r="L5" s="26"/>
      <c r="P5" s="1123"/>
      <c r="Q5" s="26"/>
      <c r="R5" s="587" t="s">
        <v>8</v>
      </c>
      <c r="S5" s="860"/>
      <c r="T5" s="30"/>
      <c r="U5" s="22"/>
    </row>
    <row r="6" spans="1:44" ht="12" customHeight="1" thickBot="1">
      <c r="A6" t="s">
        <v>9</v>
      </c>
      <c r="B6"/>
      <c r="C6" s="762"/>
      <c r="I6" s="1422" t="s">
        <v>10</v>
      </c>
      <c r="J6" s="1423"/>
      <c r="K6" s="1423"/>
      <c r="L6" s="1423"/>
      <c r="M6" s="1424"/>
      <c r="R6" s="587" t="s">
        <v>11</v>
      </c>
      <c r="S6" s="1124" t="s">
        <v>12</v>
      </c>
    </row>
    <row r="7" spans="1:44" ht="12" customHeight="1">
      <c r="A7" s="1008"/>
      <c r="B7" s="321" t="s">
        <v>13</v>
      </c>
      <c r="I7" s="1063"/>
      <c r="J7" s="364"/>
      <c r="K7" s="364"/>
      <c r="M7" s="50"/>
    </row>
    <row r="8" spans="1:44" ht="12" customHeight="1">
      <c r="A8" s="428" t="s">
        <v>14</v>
      </c>
      <c r="B8" s="321" t="s">
        <v>15</v>
      </c>
      <c r="C8" s="46"/>
      <c r="F8"/>
      <c r="I8" s="1063"/>
      <c r="J8" s="364"/>
      <c r="M8" s="50"/>
    </row>
    <row r="9" spans="1:44" ht="12" customHeight="1">
      <c r="A9" s="583" t="s">
        <v>16</v>
      </c>
      <c r="B9" s="321" t="s">
        <v>17</v>
      </c>
      <c r="C9"/>
      <c r="D9"/>
      <c r="E9"/>
      <c r="F9" s="54"/>
      <c r="G9" s="54"/>
      <c r="I9" s="1063"/>
      <c r="J9" s="364"/>
      <c r="M9" s="50"/>
    </row>
    <row r="10" spans="1:44" ht="12" customHeight="1">
      <c r="A10" s="1125" t="s">
        <v>18</v>
      </c>
      <c r="B10" s="321" t="s">
        <v>19</v>
      </c>
      <c r="C10" s="54"/>
      <c r="D10" s="54"/>
      <c r="E10" s="54"/>
      <c r="F10" s="54"/>
      <c r="G10" s="54"/>
      <c r="I10" s="1063"/>
      <c r="J10" s="364"/>
      <c r="K10" s="1126"/>
      <c r="L10" s="1126"/>
      <c r="M10" s="1064"/>
    </row>
    <row r="11" spans="1:44" ht="12" customHeight="1">
      <c r="A11" s="1049" t="s">
        <v>20</v>
      </c>
      <c r="B11" s="762" t="s">
        <v>21</v>
      </c>
      <c r="D11" s="33"/>
      <c r="E11" s="33"/>
      <c r="F11" s="33"/>
      <c r="G11" s="33"/>
      <c r="I11" s="1063"/>
      <c r="J11" s="364"/>
      <c r="K11" s="364"/>
      <c r="L11" s="364"/>
      <c r="M11" s="50"/>
    </row>
    <row r="12" spans="1:44" ht="12" customHeight="1" thickBot="1">
      <c r="A12" s="1127" t="s">
        <v>22</v>
      </c>
      <c r="B12" s="762" t="s">
        <v>23</v>
      </c>
      <c r="C12" s="54"/>
      <c r="D12" s="54"/>
      <c r="E12" s="54"/>
      <c r="F12" s="54"/>
      <c r="G12" s="54"/>
      <c r="I12" s="1065"/>
      <c r="J12" s="1128"/>
      <c r="K12" s="1066"/>
      <c r="L12" s="44"/>
      <c r="M12" s="45"/>
    </row>
    <row r="13" spans="1:44" ht="14.4" thickTop="1" thickBot="1">
      <c r="A13" s="583" t="s">
        <v>24</v>
      </c>
      <c r="J13" s="364"/>
    </row>
    <row r="14" spans="1:44" ht="18" thickBot="1">
      <c r="A14" s="1524" t="s">
        <v>25</v>
      </c>
      <c r="B14" s="1525"/>
      <c r="C14" s="1525"/>
      <c r="D14" s="1525"/>
      <c r="E14" s="1525"/>
      <c r="F14" s="1525"/>
      <c r="G14" s="1525"/>
      <c r="H14" s="1525"/>
      <c r="I14" s="1525"/>
      <c r="J14" s="1525"/>
      <c r="K14" s="1525"/>
      <c r="L14" s="1525"/>
      <c r="M14" s="1525"/>
      <c r="N14" s="1525"/>
      <c r="O14" s="1525"/>
      <c r="P14" s="1525"/>
      <c r="Q14" s="1525"/>
      <c r="R14" s="1525"/>
      <c r="S14" s="1525"/>
      <c r="T14" s="1525"/>
      <c r="U14" s="1525"/>
      <c r="V14" s="1525"/>
      <c r="W14" s="1526"/>
    </row>
    <row r="15" spans="1:44" ht="15.6" thickBot="1">
      <c r="A15" s="1537" t="s">
        <v>26</v>
      </c>
      <c r="B15" s="1538"/>
      <c r="C15" s="1538"/>
      <c r="D15" s="1538"/>
      <c r="E15" s="1537" t="s">
        <v>27</v>
      </c>
      <c r="F15" s="1538"/>
      <c r="G15" s="1538"/>
      <c r="H15" s="1538"/>
      <c r="I15" s="1537" t="s">
        <v>28</v>
      </c>
      <c r="J15" s="1538"/>
      <c r="K15" s="1538"/>
      <c r="L15" s="1538"/>
      <c r="M15" s="1538"/>
      <c r="N15" s="1538"/>
      <c r="O15" s="1538"/>
      <c r="P15" s="1539"/>
      <c r="Q15" s="1537" t="s">
        <v>29</v>
      </c>
      <c r="R15" s="1538"/>
      <c r="S15" s="1538"/>
      <c r="T15" s="1538"/>
      <c r="U15" s="1538"/>
      <c r="V15" s="1538"/>
      <c r="W15" s="1539"/>
      <c r="AR15" s="36"/>
    </row>
    <row r="16" spans="1:44" ht="12" customHeight="1">
      <c r="A16" s="1560" t="s">
        <v>30</v>
      </c>
      <c r="B16" s="1561"/>
      <c r="C16" s="1561"/>
      <c r="D16" s="1562"/>
      <c r="E16" s="1587"/>
      <c r="F16" s="1588"/>
      <c r="G16" s="1502" t="s">
        <v>31</v>
      </c>
      <c r="H16" s="1685"/>
      <c r="I16" s="1652"/>
      <c r="J16" s="1653"/>
      <c r="K16" s="1653"/>
      <c r="L16" s="1653"/>
      <c r="M16" s="1653"/>
      <c r="N16" s="1653"/>
      <c r="O16" s="1653"/>
      <c r="P16" s="1654"/>
      <c r="Q16" s="1638"/>
      <c r="R16" s="1638"/>
      <c r="S16" s="1638"/>
      <c r="T16" s="1638"/>
      <c r="U16" s="1638"/>
      <c r="V16" s="1638"/>
      <c r="W16" s="1639"/>
      <c r="AR16" s="36"/>
    </row>
    <row r="17" spans="1:44" ht="12" customHeight="1">
      <c r="A17" s="1657" t="s">
        <v>32</v>
      </c>
      <c r="B17" s="1600"/>
      <c r="C17" s="1600"/>
      <c r="D17" s="1601"/>
      <c r="E17" s="1658">
        <f>ROUND(E16^2/100,0)</f>
        <v>0</v>
      </c>
      <c r="F17" s="1659"/>
      <c r="G17" s="1546"/>
      <c r="H17" s="1547"/>
      <c r="I17" s="1454" t="s">
        <v>33</v>
      </c>
      <c r="J17" s="1461"/>
      <c r="K17" s="1461"/>
      <c r="L17" s="1461"/>
      <c r="M17" s="1461"/>
      <c r="N17" s="1461"/>
      <c r="O17" s="1461"/>
      <c r="P17" s="1455"/>
      <c r="Q17" s="1456"/>
      <c r="R17" s="1456"/>
      <c r="S17" s="1456"/>
      <c r="T17" s="1456"/>
      <c r="U17" s="1456"/>
      <c r="V17" s="1456"/>
      <c r="W17" s="1457"/>
      <c r="AR17" s="36"/>
    </row>
    <row r="18" spans="1:44" ht="12" customHeight="1">
      <c r="A18" s="1435" t="s">
        <v>34</v>
      </c>
      <c r="B18" s="1436"/>
      <c r="C18" s="1436"/>
      <c r="D18" s="1437" t="s">
        <v>35</v>
      </c>
      <c r="E18" s="1648"/>
      <c r="F18" s="1549"/>
      <c r="G18" s="1454" t="s">
        <v>36</v>
      </c>
      <c r="H18" s="1547"/>
      <c r="I18" s="1454" t="s">
        <v>37</v>
      </c>
      <c r="J18" s="1461"/>
      <c r="K18" s="1461"/>
      <c r="L18" s="1461"/>
      <c r="M18" s="1461"/>
      <c r="N18" s="1461"/>
      <c r="O18" s="1461"/>
      <c r="P18" s="1455"/>
      <c r="Q18" s="1456"/>
      <c r="R18" s="1456"/>
      <c r="S18" s="1456"/>
      <c r="T18" s="1456"/>
      <c r="U18" s="1456"/>
      <c r="V18" s="1456"/>
      <c r="W18" s="1457"/>
      <c r="AR18" s="36"/>
    </row>
    <row r="19" spans="1:44" ht="12" customHeight="1">
      <c r="A19" s="1435" t="s">
        <v>38</v>
      </c>
      <c r="B19" s="1436"/>
      <c r="C19" s="1436"/>
      <c r="D19" s="1437"/>
      <c r="E19" s="1648"/>
      <c r="F19" s="1549"/>
      <c r="G19" s="1454" t="s">
        <v>36</v>
      </c>
      <c r="H19" s="1547"/>
      <c r="I19" s="1454" t="s">
        <v>39</v>
      </c>
      <c r="J19" s="1461"/>
      <c r="K19" s="1461"/>
      <c r="L19" s="1461"/>
      <c r="M19" s="1461"/>
      <c r="N19" s="1461"/>
      <c r="O19" s="1461"/>
      <c r="P19" s="1455"/>
      <c r="Q19" s="1456"/>
      <c r="R19" s="1456"/>
      <c r="S19" s="1456"/>
      <c r="T19" s="1456"/>
      <c r="U19" s="1456"/>
      <c r="V19" s="1456"/>
      <c r="W19" s="1457"/>
      <c r="AR19" s="36"/>
    </row>
    <row r="20" spans="1:44" ht="12.75" customHeight="1">
      <c r="A20" s="1435" t="s">
        <v>40</v>
      </c>
      <c r="B20" s="1436"/>
      <c r="C20" s="1436"/>
      <c r="D20" s="1437"/>
      <c r="E20" s="1573">
        <f>IFERROR(ROUNDUP(IF(PRC_023_3_BIT=1,MIN(U36),W50),2),"")</f>
        <v>0</v>
      </c>
      <c r="F20" s="1574"/>
      <c r="G20" s="1546" t="s">
        <v>36</v>
      </c>
      <c r="H20" s="1547"/>
      <c r="I20" s="1454" t="str">
        <f>IF(PRC_023_3_BIT=1,"Min of listed PRC-023-3 criteria used for Z3, Z3R and load encroachment","Listed PRC-025-2 criteria used for Z3, Z3R and load encroachment")</f>
        <v>Min of listed PRC-023-3 criteria used for Z3, Z3R and load encroachment</v>
      </c>
      <c r="J20" s="1461"/>
      <c r="K20" s="1461"/>
      <c r="L20" s="1461"/>
      <c r="M20" s="1461"/>
      <c r="N20" s="1461"/>
      <c r="O20" s="1461"/>
      <c r="P20" s="1455"/>
      <c r="Q20" s="1456"/>
      <c r="R20" s="1456"/>
      <c r="S20" s="1456"/>
      <c r="T20" s="1456"/>
      <c r="U20" s="1456"/>
      <c r="V20" s="1456"/>
      <c r="W20" s="1457"/>
      <c r="AR20" s="36"/>
    </row>
    <row r="21" spans="1:44" ht="12" customHeight="1">
      <c r="A21" s="1603" t="s">
        <v>41</v>
      </c>
      <c r="B21" s="1434"/>
      <c r="C21" s="1434"/>
      <c r="D21" s="1542"/>
      <c r="E21" s="1660">
        <f>MIN(E18:E19)</f>
        <v>0</v>
      </c>
      <c r="F21" s="1661"/>
      <c r="G21" s="1546" t="s">
        <v>36</v>
      </c>
      <c r="H21" s="1547"/>
      <c r="I21" s="1454" t="s">
        <v>42</v>
      </c>
      <c r="J21" s="1461"/>
      <c r="K21" s="1461"/>
      <c r="L21" s="1461"/>
      <c r="M21" s="1461"/>
      <c r="N21" s="1461"/>
      <c r="O21" s="1461"/>
      <c r="P21" s="1455"/>
      <c r="Q21" s="1456"/>
      <c r="R21" s="1456"/>
      <c r="S21" s="1456"/>
      <c r="T21" s="1456"/>
      <c r="U21" s="1456"/>
      <c r="V21" s="1456"/>
      <c r="W21" s="1457"/>
      <c r="AR21" s="36"/>
    </row>
    <row r="22" spans="1:44" ht="12" customHeight="1">
      <c r="A22" s="1533" t="s">
        <v>43</v>
      </c>
      <c r="B22" s="1596"/>
      <c r="C22" s="1596"/>
      <c r="D22" s="1597"/>
      <c r="E22" s="1648"/>
      <c r="F22" s="1549"/>
      <c r="G22" s="1571" t="s">
        <v>44</v>
      </c>
      <c r="H22" s="1572"/>
      <c r="I22" s="1454" t="s">
        <v>45</v>
      </c>
      <c r="J22" s="1461"/>
      <c r="K22" s="1461"/>
      <c r="L22" s="1461"/>
      <c r="M22" s="1461"/>
      <c r="N22" s="1461"/>
      <c r="O22" s="1461"/>
      <c r="P22" s="1455"/>
      <c r="Q22" s="1454" t="str">
        <f>IF(CTR&lt;600,"CT ratio below 600/5 is not typical",IF(CTR&gt;3000,"CT ratio is not typical",""))</f>
        <v>CT ratio below 600/5 is not typical</v>
      </c>
      <c r="R22" s="1461"/>
      <c r="S22" s="1461"/>
      <c r="T22" s="1461"/>
      <c r="U22" s="1461"/>
      <c r="V22" s="1461"/>
      <c r="W22" s="1520"/>
      <c r="AR22" s="36"/>
    </row>
    <row r="23" spans="1:44" ht="12" customHeight="1">
      <c r="A23" s="1364"/>
      <c r="B23" s="1363"/>
      <c r="C23" s="1363"/>
      <c r="D23" s="765" t="s">
        <v>46</v>
      </c>
      <c r="E23" s="1648"/>
      <c r="F23" s="1549"/>
      <c r="G23" s="766" t="s">
        <v>44</v>
      </c>
      <c r="H23" s="1362"/>
      <c r="I23" s="1454" t="s">
        <v>47</v>
      </c>
      <c r="J23" s="1461"/>
      <c r="K23" s="1461"/>
      <c r="L23" s="1461"/>
      <c r="M23" s="1461"/>
      <c r="N23" s="1461"/>
      <c r="O23" s="1461"/>
      <c r="P23" s="1455"/>
      <c r="Q23" s="1505"/>
      <c r="R23" s="1459"/>
      <c r="S23" s="1459"/>
      <c r="T23" s="1459"/>
      <c r="U23" s="1459"/>
      <c r="V23" s="1459"/>
      <c r="W23" s="1506"/>
      <c r="AR23" s="36"/>
    </row>
    <row r="24" spans="1:44" ht="12" customHeight="1">
      <c r="A24" s="1578" t="s">
        <v>48</v>
      </c>
      <c r="B24" s="1579"/>
      <c r="C24" s="1579"/>
      <c r="D24" s="1580"/>
      <c r="E24" s="1648"/>
      <c r="F24" s="1549"/>
      <c r="G24" s="1571" t="s">
        <v>49</v>
      </c>
      <c r="H24" s="1572"/>
      <c r="I24" s="1454" t="s">
        <v>50</v>
      </c>
      <c r="J24" s="1461"/>
      <c r="K24" s="1461"/>
      <c r="L24" s="1461"/>
      <c r="M24" s="1461"/>
      <c r="N24" s="1461"/>
      <c r="O24" s="1461"/>
      <c r="P24" s="1455"/>
      <c r="Q24" s="1456" t="e">
        <f>IF(PTR=AC404,"","Expected PTR for "&amp;E16&amp;"kV system is "&amp;AC404)</f>
        <v>#N/A</v>
      </c>
      <c r="R24" s="1456"/>
      <c r="S24" s="1456"/>
      <c r="T24" s="1456"/>
      <c r="U24" s="1456"/>
      <c r="V24" s="1456"/>
      <c r="W24" s="1457"/>
      <c r="AR24" s="36"/>
    </row>
    <row r="25" spans="1:44" ht="12" customHeight="1">
      <c r="A25" s="1550" t="s">
        <v>51</v>
      </c>
      <c r="B25" s="1551"/>
      <c r="C25" s="1551"/>
      <c r="D25" s="1551"/>
      <c r="E25" s="1573" t="e">
        <f>E22/5/E24</f>
        <v>#DIV/0!</v>
      </c>
      <c r="F25" s="1574"/>
      <c r="G25" s="1647"/>
      <c r="H25" s="1647"/>
      <c r="I25" s="1456"/>
      <c r="J25" s="1456"/>
      <c r="K25" s="1456"/>
      <c r="L25" s="1456"/>
      <c r="M25" s="1456"/>
      <c r="N25" s="1456"/>
      <c r="O25" s="1456"/>
      <c r="P25" s="1456"/>
      <c r="Q25" s="1456"/>
      <c r="R25" s="1456"/>
      <c r="S25" s="1456"/>
      <c r="T25" s="1456"/>
      <c r="U25" s="1456"/>
      <c r="V25" s="1456"/>
      <c r="W25" s="1457"/>
    </row>
    <row r="26" spans="1:44" ht="12" customHeight="1">
      <c r="A26" s="1578" t="s">
        <v>52</v>
      </c>
      <c r="B26" s="1579"/>
      <c r="C26" s="1579"/>
      <c r="D26" s="1580"/>
      <c r="E26" s="1671">
        <v>1</v>
      </c>
      <c r="F26" s="1672"/>
      <c r="G26" s="1669"/>
      <c r="H26" s="1670"/>
      <c r="I26" s="1365"/>
      <c r="J26" s="1219"/>
      <c r="K26" s="1633"/>
      <c r="L26" s="1634"/>
      <c r="M26" s="1634"/>
      <c r="N26" s="1634"/>
      <c r="O26" s="1634"/>
      <c r="P26" s="1635"/>
      <c r="Q26" s="1633"/>
      <c r="R26" s="1634"/>
      <c r="S26" s="1634"/>
      <c r="T26" s="1634"/>
      <c r="U26" s="1634"/>
      <c r="V26" s="1634"/>
      <c r="W26" s="1668"/>
    </row>
    <row r="27" spans="1:44" ht="12" customHeight="1">
      <c r="A27" s="1578" t="s">
        <v>53</v>
      </c>
      <c r="B27" s="1579"/>
      <c r="C27" s="1579"/>
      <c r="D27" s="1580"/>
      <c r="E27" s="1662">
        <v>0</v>
      </c>
      <c r="F27" s="1663"/>
      <c r="G27" s="1571"/>
      <c r="H27" s="1572"/>
      <c r="I27" s="1345"/>
      <c r="J27" s="1350"/>
      <c r="K27" s="1454" t="s">
        <v>54</v>
      </c>
      <c r="L27" s="1461"/>
      <c r="M27" s="1461"/>
      <c r="N27" s="1461"/>
      <c r="O27" s="1461"/>
      <c r="P27" s="1455"/>
      <c r="Q27" s="1454"/>
      <c r="R27" s="1461"/>
      <c r="S27" s="1461"/>
      <c r="T27" s="1461"/>
      <c r="U27" s="1461"/>
      <c r="V27" s="1461"/>
      <c r="W27" s="1520"/>
    </row>
    <row r="28" spans="1:44" ht="12" customHeight="1">
      <c r="A28" s="1667" t="s">
        <v>55</v>
      </c>
      <c r="B28" s="1579"/>
      <c r="C28" s="1579"/>
      <c r="D28" s="1580"/>
      <c r="E28" s="1548">
        <v>0</v>
      </c>
      <c r="F28" s="1549"/>
      <c r="G28" s="1571"/>
      <c r="H28" s="1572"/>
      <c r="I28" s="1345"/>
      <c r="J28" s="1350"/>
      <c r="K28" s="1454"/>
      <c r="L28" s="1461"/>
      <c r="M28" s="1461"/>
      <c r="N28" s="1461"/>
      <c r="O28" s="1461"/>
      <c r="P28" s="1455"/>
      <c r="Q28" s="1454"/>
      <c r="R28" s="1461"/>
      <c r="S28" s="1461"/>
      <c r="T28" s="1461"/>
      <c r="U28" s="1461"/>
      <c r="V28" s="1461"/>
      <c r="W28" s="1520"/>
      <c r="AA28" s="670"/>
    </row>
    <row r="29" spans="1:44" ht="12" customHeight="1">
      <c r="A29" s="1578" t="s">
        <v>56</v>
      </c>
      <c r="B29" s="1579"/>
      <c r="C29" s="1579"/>
      <c r="D29" s="1580"/>
      <c r="E29" s="1648">
        <v>2</v>
      </c>
      <c r="F29" s="1549"/>
      <c r="G29" s="1571"/>
      <c r="H29" s="1572"/>
      <c r="I29" s="1345"/>
      <c r="J29" s="1350"/>
      <c r="K29" s="1454"/>
      <c r="L29" s="1461"/>
      <c r="M29" s="1461"/>
      <c r="N29" s="1461"/>
      <c r="O29" s="1461"/>
      <c r="P29" s="1455"/>
      <c r="Q29" s="1454"/>
      <c r="R29" s="1461"/>
      <c r="S29" s="1461"/>
      <c r="T29" s="1461"/>
      <c r="U29" s="1461"/>
      <c r="V29" s="1461"/>
      <c r="W29" s="1520"/>
    </row>
    <row r="30" spans="1:44" ht="12" customHeight="1" thickBot="1">
      <c r="A30" s="1664" t="s">
        <v>57</v>
      </c>
      <c r="B30" s="1665"/>
      <c r="C30" s="1665"/>
      <c r="D30" s="1666"/>
      <c r="E30" s="1593">
        <v>0</v>
      </c>
      <c r="F30" s="1594"/>
      <c r="G30" s="1650"/>
      <c r="H30" s="1651"/>
      <c r="I30" s="1356"/>
      <c r="J30" s="1361"/>
      <c r="K30" s="1477"/>
      <c r="L30" s="1517"/>
      <c r="M30" s="1517"/>
      <c r="N30" s="1517"/>
      <c r="O30" s="1517"/>
      <c r="P30" s="1478"/>
      <c r="Q30" s="1477"/>
      <c r="R30" s="1517"/>
      <c r="S30" s="1517"/>
      <c r="T30" s="1517"/>
      <c r="U30" s="1517"/>
      <c r="V30" s="1517"/>
      <c r="W30" s="1518"/>
    </row>
    <row r="31" spans="1:44" ht="12" customHeight="1">
      <c r="A31" s="46"/>
      <c r="B31" s="46"/>
      <c r="C31" s="46"/>
      <c r="D31" s="46"/>
      <c r="E31" s="1129"/>
      <c r="F31" s="1130"/>
      <c r="G31" s="682" t="s">
        <v>58</v>
      </c>
      <c r="H31" s="51"/>
      <c r="I31" s="784"/>
      <c r="J31" s="784"/>
      <c r="K31" s="784"/>
      <c r="L31" s="784"/>
      <c r="M31" s="784"/>
      <c r="N31" s="784"/>
      <c r="O31" s="784"/>
      <c r="P31" s="784"/>
      <c r="Q31" s="784"/>
      <c r="R31" s="784"/>
      <c r="S31" s="784"/>
      <c r="T31" s="784"/>
      <c r="U31" s="784"/>
      <c r="V31" s="784"/>
      <c r="W31" s="784"/>
    </row>
    <row r="32" spans="1:44" ht="12" customHeight="1" thickBot="1">
      <c r="A32" s="46"/>
      <c r="B32" s="46"/>
      <c r="C32" s="46"/>
      <c r="D32" s="46"/>
      <c r="E32" s="1129"/>
      <c r="F32" s="1129"/>
      <c r="G32" s="51"/>
      <c r="H32" s="51"/>
      <c r="I32" s="784"/>
      <c r="J32" s="784"/>
      <c r="K32" s="784"/>
      <c r="L32" s="784"/>
      <c r="M32" s="784"/>
      <c r="N32" s="784"/>
      <c r="O32" s="784"/>
      <c r="P32" s="784"/>
      <c r="Q32" s="784"/>
      <c r="R32" s="784"/>
      <c r="S32" s="784"/>
      <c r="T32" s="784"/>
      <c r="U32" s="784"/>
      <c r="V32" s="784"/>
      <c r="W32" s="784"/>
    </row>
    <row r="33" spans="1:38" ht="18" thickBot="1">
      <c r="A33" s="1491" t="s">
        <v>59</v>
      </c>
      <c r="B33" s="1492"/>
      <c r="C33" s="1492"/>
      <c r="D33" s="1492"/>
      <c r="E33" s="1492"/>
      <c r="F33" s="1492"/>
      <c r="G33" s="1492"/>
      <c r="H33" s="1492"/>
      <c r="I33" s="1492"/>
      <c r="J33" s="1492"/>
      <c r="K33" s="1492"/>
      <c r="L33" s="1492"/>
      <c r="M33" s="1492"/>
      <c r="N33" s="1492"/>
      <c r="O33" s="1492"/>
      <c r="P33" s="1492"/>
      <c r="Q33" s="1492"/>
      <c r="R33" s="1492"/>
      <c r="S33" s="1492"/>
      <c r="T33" s="1492"/>
      <c r="U33" s="1492"/>
      <c r="V33" s="1492"/>
      <c r="W33" s="1493"/>
      <c r="AB33" s="36"/>
    </row>
    <row r="34" spans="1:38" ht="24.75" customHeight="1" thickBot="1">
      <c r="A34" s="1683" t="s">
        <v>60</v>
      </c>
      <c r="B34" s="1684"/>
      <c r="C34" s="1684"/>
      <c r="D34" s="1684"/>
      <c r="E34" s="1614" t="s">
        <v>61</v>
      </c>
      <c r="F34" s="1615"/>
      <c r="G34" s="1615"/>
      <c r="H34" s="1616"/>
      <c r="I34" s="1617" t="s">
        <v>62</v>
      </c>
      <c r="J34" s="1618"/>
      <c r="K34" s="1618"/>
      <c r="L34" s="1618"/>
      <c r="M34" s="1618"/>
      <c r="N34" s="1618"/>
      <c r="O34" s="1618"/>
      <c r="P34" s="1618"/>
      <c r="Q34" s="1618"/>
      <c r="R34" s="1618"/>
      <c r="S34" s="1618"/>
      <c r="T34" s="1618"/>
      <c r="U34" s="1618"/>
      <c r="V34" s="1618"/>
      <c r="W34" s="1619"/>
      <c r="AB34" s="36"/>
    </row>
    <row r="35" spans="1:38" ht="15.6" thickBot="1">
      <c r="A35" s="1510" t="s">
        <v>63</v>
      </c>
      <c r="B35" s="1511"/>
      <c r="C35" s="1511"/>
      <c r="D35" s="1511"/>
      <c r="E35" s="1537" t="s">
        <v>27</v>
      </c>
      <c r="F35" s="1538"/>
      <c r="G35" s="1538"/>
      <c r="H35" s="1539"/>
      <c r="I35" s="1677" t="s">
        <v>28</v>
      </c>
      <c r="J35" s="1527"/>
      <c r="K35" s="1527"/>
      <c r="L35" s="1527"/>
      <c r="M35" s="1527"/>
      <c r="N35" s="1678"/>
      <c r="O35" s="1679" t="s">
        <v>64</v>
      </c>
      <c r="P35" s="1680"/>
      <c r="Q35" s="1646" t="s">
        <v>65</v>
      </c>
      <c r="R35" s="1646"/>
      <c r="S35" s="1604" t="s">
        <v>66</v>
      </c>
      <c r="T35" s="1609"/>
      <c r="U35" s="1604" t="s">
        <v>67</v>
      </c>
      <c r="V35" s="1605"/>
      <c r="W35" s="1606"/>
    </row>
    <row r="36" spans="1:38" ht="15" customHeight="1">
      <c r="A36" s="1560" t="s">
        <v>68</v>
      </c>
      <c r="B36" s="1561"/>
      <c r="C36" s="1561"/>
      <c r="D36" s="1562"/>
      <c r="E36" s="1131">
        <f>E19</f>
        <v>0</v>
      </c>
      <c r="F36" s="1132"/>
      <c r="G36" s="1642" t="s">
        <v>69</v>
      </c>
      <c r="H36" s="1643"/>
      <c r="I36" s="1502" t="s">
        <v>70</v>
      </c>
      <c r="J36" s="1503"/>
      <c r="K36" s="1503"/>
      <c r="L36" s="1503"/>
      <c r="M36" s="1503"/>
      <c r="N36" s="1509"/>
      <c r="O36" s="1570">
        <v>1.4</v>
      </c>
      <c r="P36" s="1570"/>
      <c r="Q36" s="1636">
        <f>AD349/100</f>
        <v>1.51</v>
      </c>
      <c r="R36" s="1607"/>
      <c r="S36" s="1570"/>
      <c r="T36" s="1570"/>
      <c r="U36" s="1607">
        <f>ROUNDUP(IF(S36="",E36*Q36*O36,E36*S36*O36),0)</f>
        <v>0</v>
      </c>
      <c r="V36" s="1607"/>
      <c r="W36" s="1608"/>
      <c r="X36" s="1673" t="s">
        <v>71</v>
      </c>
      <c r="Y36" s="1673"/>
      <c r="Z36" s="1673"/>
      <c r="AA36" s="1673"/>
      <c r="AB36" s="1673"/>
      <c r="AC36" s="1673"/>
      <c r="AD36" s="1673"/>
      <c r="AE36" s="1673"/>
      <c r="AF36" s="1673"/>
      <c r="AG36" s="1673"/>
      <c r="AH36" s="1673"/>
      <c r="AI36" s="1673"/>
      <c r="AJ36" s="1673"/>
      <c r="AK36" s="1673"/>
      <c r="AL36" s="1673"/>
    </row>
    <row r="37" spans="1:38" ht="12.75" customHeight="1">
      <c r="A37" s="1533" t="s">
        <v>72</v>
      </c>
      <c r="B37" s="1534"/>
      <c r="C37" s="1534"/>
      <c r="D37" s="1535"/>
      <c r="E37" s="1133">
        <f>E18</f>
        <v>0</v>
      </c>
      <c r="F37" s="1134"/>
      <c r="G37" s="1640" t="s">
        <v>69</v>
      </c>
      <c r="H37" s="1641"/>
      <c r="I37" s="1454" t="s">
        <v>73</v>
      </c>
      <c r="J37" s="1461"/>
      <c r="K37" s="1461"/>
      <c r="L37" s="1461"/>
      <c r="M37" s="1461"/>
      <c r="N37" s="1455"/>
      <c r="O37" s="1563">
        <v>1.4</v>
      </c>
      <c r="P37" s="1564"/>
      <c r="Q37" s="1649">
        <f>AD350/100</f>
        <v>1.1499999999999999</v>
      </c>
      <c r="R37" s="1598"/>
      <c r="S37" s="1563">
        <v>1.51</v>
      </c>
      <c r="T37" s="1564"/>
      <c r="U37" s="1598">
        <f>ROUNDUP(IF(S37="",E37*Q37*O37,E37*S37*O37),0)</f>
        <v>0</v>
      </c>
      <c r="V37" s="1598"/>
      <c r="W37" s="1599"/>
    </row>
    <row r="38" spans="1:38" ht="27" customHeight="1" thickBot="1">
      <c r="A38" s="1610" t="s">
        <v>74</v>
      </c>
      <c r="B38" s="1611"/>
      <c r="C38" s="1611"/>
      <c r="D38" s="1612"/>
      <c r="E38" s="1644"/>
      <c r="F38" s="1645"/>
      <c r="G38" s="1591" t="s">
        <v>69</v>
      </c>
      <c r="H38" s="1592"/>
      <c r="I38" s="1674" t="s">
        <v>75</v>
      </c>
      <c r="J38" s="1675"/>
      <c r="K38" s="1675"/>
      <c r="L38" s="1675"/>
      <c r="M38" s="1675"/>
      <c r="N38" s="1676"/>
      <c r="O38" s="1613">
        <v>1.4</v>
      </c>
      <c r="P38" s="1613"/>
      <c r="Q38" s="1637">
        <f>IF(AD348="NA","NA",(AD347+AD348)/100)</f>
        <v>0</v>
      </c>
      <c r="R38" s="1637"/>
      <c r="S38" s="1613"/>
      <c r="T38" s="1613"/>
      <c r="U38" s="1655" t="str">
        <f>IF(E38="","",IF(S38="",ROUNDUP(E38*Q38*O38,E38*S38*O37),0))</f>
        <v/>
      </c>
      <c r="V38" s="1655"/>
      <c r="W38" s="1656"/>
    </row>
    <row r="39" spans="1:38" ht="12" customHeight="1">
      <c r="A39" s="1673" t="s">
        <v>76</v>
      </c>
      <c r="B39" s="1673"/>
      <c r="C39" s="1673"/>
      <c r="D39" s="1673"/>
      <c r="E39" s="1673"/>
      <c r="F39" s="1673"/>
      <c r="G39" s="1673"/>
      <c r="H39" s="1673"/>
      <c r="I39" s="1673"/>
      <c r="J39" s="1673"/>
      <c r="K39" s="1673"/>
      <c r="O39" s="786" t="s">
        <v>77</v>
      </c>
      <c r="P39" s="786"/>
      <c r="Q39" s="786"/>
      <c r="R39" s="786"/>
      <c r="S39" s="786"/>
      <c r="T39" s="786"/>
      <c r="U39" s="786"/>
      <c r="V39" s="786"/>
      <c r="W39" s="786"/>
      <c r="X39" s="786"/>
      <c r="Y39" s="786"/>
    </row>
    <row r="40" spans="1:38" ht="12" customHeight="1" thickBot="1">
      <c r="J40" s="364"/>
      <c r="O40" s="786" t="s">
        <v>78</v>
      </c>
      <c r="P40" s="786"/>
      <c r="Q40" s="786"/>
      <c r="R40" s="786"/>
      <c r="S40" s="786"/>
      <c r="T40" s="786"/>
      <c r="U40" s="786"/>
      <c r="V40" s="786"/>
      <c r="W40" s="786"/>
      <c r="X40" s="786"/>
      <c r="Y40" s="786"/>
      <c r="AB40" s="670"/>
    </row>
    <row r="41" spans="1:38" ht="15" hidden="1">
      <c r="A41" s="1121" t="s">
        <v>79</v>
      </c>
      <c r="B41" s="775"/>
      <c r="C41" s="775"/>
      <c r="D41" s="776"/>
      <c r="E41" s="777"/>
      <c r="F41" s="778"/>
      <c r="G41" s="779"/>
      <c r="H41" s="776"/>
      <c r="I41" s="780"/>
      <c r="J41" s="1135"/>
      <c r="K41" s="781"/>
      <c r="L41" s="780"/>
      <c r="M41" s="780"/>
      <c r="N41" s="780"/>
      <c r="O41" s="782"/>
      <c r="P41" s="782"/>
      <c r="Q41" s="782"/>
      <c r="R41" s="782"/>
      <c r="S41" s="782"/>
      <c r="T41" s="782"/>
      <c r="U41" s="782"/>
      <c r="V41" s="782"/>
      <c r="W41" s="783"/>
      <c r="X41" s="1355"/>
      <c r="Y41" s="1355"/>
      <c r="AB41" s="670"/>
    </row>
    <row r="42" spans="1:38" ht="20.25" hidden="1" customHeight="1">
      <c r="A42" s="1425" t="str">
        <f>IF(PRC_025_Synchronous_BIT=1,"Synchronous ",IF(PRC_025_Asynchronous_BIT=1,"Asynchronous ",""))&amp;"Generator Nameplate MVA"</f>
        <v>Generator Nameplate MVA</v>
      </c>
      <c r="B42" s="1426"/>
      <c r="C42" s="1426"/>
      <c r="D42" s="1426"/>
      <c r="E42" s="981">
        <f ca="1">IF(PRC_025_Synchronous_BIT=1,HYPERLINK("#"&amp;CELL("address",'PRC-025 Generator Data Sheet'!B21),'PRC-025 Generator Data Sheet'!B21),HYPERLINK("#"&amp;CELL("address",'PRC-025 Generator Data Sheet'!J21),'PRC-025 Generator Data Sheet'!J21))</f>
        <v>117.60000000000001</v>
      </c>
      <c r="F42" s="958" t="s">
        <v>80</v>
      </c>
      <c r="G42" s="1575" t="str">
        <f ca="1">IF(PRC_025_Synchronous_BIT=1,"Generator name plate MVA, used for the calculation methods described in T1.14a",IF(PRC_025_MVA&lt;=PRC_025_ASYNC_THRESHOLD,"Not Applicable for PRC_025 ASYNCHRONOUS (Solar or Wind), select other Relay Loadability Criteria because "&amp;PRC_025_MVA&amp;"&lt;"&amp;PRC_025_ASYNC_THRESHOLD&amp;" MVA","Total aggregate nameplate MVA."))</f>
        <v>Total aggregate nameplate MVA.</v>
      </c>
      <c r="H42" s="1576"/>
      <c r="I42" s="1576"/>
      <c r="J42" s="1576"/>
      <c r="K42" s="1576"/>
      <c r="L42" s="1576"/>
      <c r="M42" s="1576"/>
      <c r="N42" s="1576"/>
      <c r="O42" s="1576"/>
      <c r="P42" s="1576"/>
      <c r="Q42" s="1576"/>
      <c r="R42" s="1576"/>
      <c r="S42" s="1576"/>
      <c r="T42" s="1576"/>
      <c r="U42" s="1576"/>
      <c r="V42" s="1576"/>
      <c r="W42" s="1577"/>
      <c r="X42" s="1355"/>
      <c r="Y42" s="1355"/>
      <c r="AB42" s="670"/>
    </row>
    <row r="43" spans="1:38" ht="25.5" hidden="1" customHeight="1">
      <c r="A43" s="1425" t="str">
        <f>IF(PRC_025_Synchronous_BIT=1,"Real Power Output Reported to Trans Planner","MW Capabilities of the generation equipment")</f>
        <v>MW Capabilities of the generation equipment</v>
      </c>
      <c r="B43" s="1426"/>
      <c r="C43" s="1426"/>
      <c r="D43" s="1426"/>
      <c r="E43" s="981">
        <f ca="1">IF(PRC_025_Synchronous_BIT=1,HYPERLINK("#"&amp;CELL("address",'PRC-025 Generator Data Sheet'!C21),'PRC-025 Generator Data Sheet'!C21),HYPERLINK("#"&amp;CELL("address",'PRC-025 Generator Data Sheet'!O21),'PRC-025 Generator Data Sheet'!O21))</f>
        <v>94.080000000000013</v>
      </c>
      <c r="F43" s="958" t="s">
        <v>81</v>
      </c>
      <c r="G43" s="1575" t="str">
        <f>IF(PRC_025_Synchronous_BIT=1,"Real Power output reported to the transmission planner, used for the calculation methods described in T1.14a and T1.14b, Calcsheet will add 15% extra margin on this value","Total MW output of the generation equipment behind the relay.")</f>
        <v>Total MW output of the generation equipment behind the relay.</v>
      </c>
      <c r="H43" s="1576"/>
      <c r="I43" s="1576"/>
      <c r="J43" s="1576"/>
      <c r="K43" s="1576"/>
      <c r="L43" s="1576"/>
      <c r="M43" s="1576"/>
      <c r="N43" s="1576"/>
      <c r="O43" s="1576"/>
      <c r="P43" s="1576"/>
      <c r="Q43" s="1576"/>
      <c r="R43" s="1576"/>
      <c r="S43" s="1576"/>
      <c r="T43" s="1576"/>
      <c r="U43" s="1576"/>
      <c r="V43" s="1576"/>
      <c r="W43" s="1577"/>
      <c r="X43" s="1355"/>
      <c r="Y43" s="1355"/>
      <c r="AA43" s="965"/>
      <c r="AB43" s="670"/>
    </row>
    <row r="44" spans="1:38" ht="13.2" hidden="1">
      <c r="A44" s="1425" t="s">
        <v>82</v>
      </c>
      <c r="B44" s="1426"/>
      <c r="C44" s="1426"/>
      <c r="D44" s="1426"/>
      <c r="E44" s="1136">
        <v>0.15</v>
      </c>
      <c r="F44" s="958"/>
      <c r="G44" s="1427" t="s">
        <v>83</v>
      </c>
      <c r="H44" s="1428"/>
      <c r="I44" s="1428"/>
      <c r="J44" s="1428"/>
      <c r="K44" s="1428"/>
      <c r="L44" s="1428"/>
      <c r="M44" s="1428"/>
      <c r="N44" s="1428"/>
      <c r="O44" s="1428"/>
      <c r="P44" s="1428"/>
      <c r="Q44" s="1428"/>
      <c r="R44" s="1428"/>
      <c r="S44" s="1428"/>
      <c r="T44" s="1428"/>
      <c r="U44" s="1428"/>
      <c r="V44" s="1428"/>
      <c r="W44" s="1429"/>
      <c r="X44" s="1355"/>
      <c r="Y44" s="1355"/>
      <c r="AB44" s="670"/>
    </row>
    <row r="45" spans="1:38" ht="26.25" hidden="1" customHeight="1">
      <c r="A45" s="1681" t="str">
        <f>IF(PRC_025_Synchronous_BIT=1,"Reactive power flow by simulation","Mvar Capabilties of the generation equipment and other static/dynamic devices")</f>
        <v>Mvar Capabilties of the generation equipment and other static/dynamic devices</v>
      </c>
      <c r="B45" s="1682"/>
      <c r="C45" s="1682"/>
      <c r="D45" s="1682"/>
      <c r="E45" s="981">
        <f ca="1">IF(PRC_025_Synchronous_BIT=1,HYPERLINK("#"&amp;CELL("address",'PRC-025 Generator Data Sheet'!E21),'PRC-025 Generator Data Sheet'!E21),HYPERLINK("#"&amp;CELL("address",'PRC-025 Generator Data Sheet'!P21),'PRC-025 Generator Data Sheet'!P21+'PRC-025 Generator Data Sheet'!N21))</f>
        <v>88.559999999999988</v>
      </c>
      <c r="F45" s="958" t="s">
        <v>84</v>
      </c>
      <c r="G45" s="1427" t="str">
        <f>IF(PRC_025_Synchronous_BIT=1,"Only needed if T1.14b method is used, the max Reactive Power output on high side of GSU transf during field forcing.","Total Mvar output of the generations including static or dynamic reactive power devices that contribute to power flow through the relay.")</f>
        <v>Total Mvar output of the generations including static or dynamic reactive power devices that contribute to power flow through the relay.</v>
      </c>
      <c r="H45" s="1428"/>
      <c r="I45" s="1428"/>
      <c r="J45" s="1428"/>
      <c r="K45" s="1428"/>
      <c r="L45" s="1428"/>
      <c r="M45" s="1428"/>
      <c r="N45" s="1428"/>
      <c r="O45" s="1428"/>
      <c r="P45" s="1428"/>
      <c r="Q45" s="1428"/>
      <c r="R45" s="1428"/>
      <c r="S45" s="1428"/>
      <c r="T45" s="1428"/>
      <c r="U45" s="1428"/>
      <c r="V45" s="1428"/>
      <c r="W45" s="1429"/>
      <c r="X45" s="1355"/>
      <c r="Y45" s="1355"/>
      <c r="AA45" s="964"/>
      <c r="AB45" s="670"/>
    </row>
    <row r="46" spans="1:38" ht="13.2" hidden="1">
      <c r="A46" s="1581" t="s">
        <v>85</v>
      </c>
      <c r="B46" s="1582"/>
      <c r="C46" s="1582"/>
      <c r="D46" s="1582"/>
      <c r="E46" s="947">
        <v>0</v>
      </c>
      <c r="F46" s="1217" t="s">
        <v>86</v>
      </c>
      <c r="G46" s="1687" t="s">
        <v>87</v>
      </c>
      <c r="H46" s="1688"/>
      <c r="I46" s="1688"/>
      <c r="J46" s="1688"/>
      <c r="K46" s="1688"/>
      <c r="L46" s="1688"/>
      <c r="M46" s="1688"/>
      <c r="N46" s="1688"/>
      <c r="O46" s="1688"/>
      <c r="P46" s="1688"/>
      <c r="Q46" s="1688"/>
      <c r="R46" s="1688"/>
      <c r="S46" s="1688"/>
      <c r="T46" s="1688"/>
      <c r="U46" s="1688"/>
      <c r="V46" s="1688"/>
      <c r="W46" s="1689"/>
      <c r="X46" s="1355"/>
      <c r="Y46" s="1355"/>
      <c r="AB46" s="670"/>
    </row>
    <row r="47" spans="1:38" ht="12" hidden="1" customHeight="1" thickBot="1">
      <c r="A47" s="830"/>
      <c r="J47" s="364"/>
      <c r="O47" s="1355"/>
      <c r="P47" s="1355"/>
      <c r="Q47" s="1355"/>
      <c r="R47" s="1355"/>
      <c r="S47" s="1355"/>
      <c r="T47" s="1355"/>
      <c r="U47" s="1355"/>
      <c r="V47" s="1355"/>
      <c r="W47" s="831"/>
      <c r="X47" s="1355"/>
      <c r="Y47" s="1355"/>
      <c r="AB47" s="670"/>
    </row>
    <row r="48" spans="1:38" ht="19.5" hidden="1" customHeight="1" thickBot="1">
      <c r="A48" s="1438" t="s">
        <v>88</v>
      </c>
      <c r="B48" s="1439"/>
      <c r="C48" s="1439"/>
      <c r="D48" s="1440"/>
      <c r="E48" s="1556" t="s">
        <v>89</v>
      </c>
      <c r="F48" s="1558" t="s">
        <v>90</v>
      </c>
      <c r="G48" s="1444" t="s">
        <v>91</v>
      </c>
      <c r="H48" s="1445"/>
      <c r="I48" s="1448" t="s">
        <v>28</v>
      </c>
      <c r="J48" s="1565"/>
      <c r="K48" s="1565"/>
      <c r="L48" s="1565"/>
      <c r="M48" s="1565"/>
      <c r="N48" s="1565"/>
      <c r="O48" s="1565"/>
      <c r="P48" s="1449"/>
      <c r="Q48" s="1448" t="s">
        <v>92</v>
      </c>
      <c r="R48" s="1449"/>
      <c r="S48" s="1448" t="s">
        <v>66</v>
      </c>
      <c r="T48" s="1449"/>
      <c r="U48" s="1552" t="s">
        <v>67</v>
      </c>
      <c r="V48" s="1568"/>
      <c r="W48" s="1553"/>
    </row>
    <row r="49" spans="1:28" ht="19.5" hidden="1" customHeight="1" thickBot="1">
      <c r="A49" s="1441"/>
      <c r="B49" s="1442"/>
      <c r="C49" s="1442"/>
      <c r="D49" s="1443"/>
      <c r="E49" s="1557"/>
      <c r="F49" s="1559"/>
      <c r="G49" s="1446"/>
      <c r="H49" s="1447"/>
      <c r="I49" s="1450"/>
      <c r="J49" s="1566"/>
      <c r="K49" s="1566"/>
      <c r="L49" s="1566"/>
      <c r="M49" s="1566"/>
      <c r="N49" s="1566"/>
      <c r="O49" s="1566"/>
      <c r="P49" s="1451"/>
      <c r="Q49" s="1450"/>
      <c r="R49" s="1451"/>
      <c r="S49" s="1450"/>
      <c r="T49" s="1451"/>
      <c r="U49" s="1552" t="s">
        <v>93</v>
      </c>
      <c r="V49" s="1553"/>
      <c r="W49" s="1366" t="s">
        <v>94</v>
      </c>
    </row>
    <row r="50" spans="1:28" ht="52.5" hidden="1" customHeight="1" thickBot="1">
      <c r="A50" s="1620" t="s">
        <v>95</v>
      </c>
      <c r="B50" s="1621"/>
      <c r="C50" s="1621"/>
      <c r="D50" s="1622"/>
      <c r="E50" s="949" t="str">
        <f>IFERROR(ROUND(VLOOKUP(A50,PRC_025_CAL_TABLE,9),3),"")</f>
        <v/>
      </c>
      <c r="F50" s="950" t="str">
        <f>IFERROR(ROUNDUP(VLOOKUP(A50,PRC_025_CAL_TABLE,10),3),"")</f>
        <v/>
      </c>
      <c r="G50" s="1623" t="str">
        <f>IFERROR(VLOOKUP(A50,PRC_025_CAL_TABLE,6),"")</f>
        <v/>
      </c>
      <c r="H50" s="1624"/>
      <c r="I50" s="1567" t="s">
        <v>96</v>
      </c>
      <c r="J50" s="1568"/>
      <c r="K50" s="1568"/>
      <c r="L50" s="1568"/>
      <c r="M50" s="1568"/>
      <c r="N50" s="1568"/>
      <c r="O50" s="1568"/>
      <c r="P50" s="1569"/>
      <c r="Q50" s="1625" t="str">
        <f>IFERROR(VLOOKUP(PRC_025_criteria_selected,PRC_025_CAL_TABLE,8),"")</f>
        <v/>
      </c>
      <c r="R50" s="1626"/>
      <c r="S50" s="1627"/>
      <c r="T50" s="1627"/>
      <c r="U50" s="1554" t="str">
        <f>IFERROR(ROUNDDOWN(IF(S50="",E50/(Q50),E50/(S50)),2),"")</f>
        <v/>
      </c>
      <c r="V50" s="1555"/>
      <c r="W50" s="982" t="str">
        <f>IFERROR(ROUNDUP(IF(S50="",F50*(Q50),F50*(S50)),2),"")</f>
        <v/>
      </c>
    </row>
    <row r="51" spans="1:28" ht="15" hidden="1">
      <c r="A51" s="1686" t="s">
        <v>97</v>
      </c>
      <c r="B51" s="1673"/>
      <c r="C51" s="1673"/>
      <c r="D51" s="1673"/>
      <c r="E51" s="1673"/>
      <c r="F51" s="1673"/>
      <c r="G51" s="1673"/>
      <c r="H51" s="1673"/>
      <c r="I51" s="1673"/>
      <c r="J51" s="1673"/>
      <c r="K51" s="1673"/>
      <c r="L51" s="774"/>
      <c r="M51" s="774"/>
      <c r="N51" s="774"/>
      <c r="O51" s="786"/>
      <c r="P51" s="786"/>
      <c r="Q51" s="786"/>
      <c r="R51" s="786"/>
      <c r="S51" s="786"/>
      <c r="T51" s="786"/>
      <c r="U51" s="786"/>
      <c r="V51" s="786"/>
      <c r="W51" s="821"/>
      <c r="X51" s="786"/>
      <c r="Y51" s="786"/>
    </row>
    <row r="52" spans="1:28" ht="12" hidden="1" customHeight="1" thickBot="1">
      <c r="A52" s="110"/>
      <c r="B52" s="822"/>
      <c r="C52" s="822"/>
      <c r="D52" s="823"/>
      <c r="E52" s="824"/>
      <c r="F52" s="825"/>
      <c r="G52" s="826"/>
      <c r="H52" s="823"/>
      <c r="I52" s="346"/>
      <c r="J52" s="1137"/>
      <c r="K52" s="827"/>
      <c r="L52" s="346"/>
      <c r="M52" s="346"/>
      <c r="N52" s="346"/>
      <c r="O52" s="828"/>
      <c r="P52" s="828"/>
      <c r="Q52" s="828"/>
      <c r="R52" s="828"/>
      <c r="S52" s="828"/>
      <c r="T52" s="828"/>
      <c r="U52" s="828"/>
      <c r="V52" s="828"/>
      <c r="W52" s="829"/>
      <c r="X52" s="786"/>
      <c r="Y52" s="786"/>
      <c r="AB52" s="670"/>
    </row>
    <row r="53" spans="1:28" ht="18" thickBot="1">
      <c r="A53" s="1524" t="s">
        <v>98</v>
      </c>
      <c r="B53" s="1525"/>
      <c r="C53" s="1525"/>
      <c r="D53" s="1525"/>
      <c r="E53" s="1525"/>
      <c r="F53" s="1525"/>
      <c r="G53" s="1525"/>
      <c r="H53" s="1525"/>
      <c r="I53" s="1525"/>
      <c r="J53" s="1525"/>
      <c r="K53" s="1525"/>
      <c r="L53" s="1525"/>
      <c r="M53" s="1525"/>
      <c r="N53" s="1525"/>
      <c r="O53" s="1525"/>
      <c r="P53" s="1525"/>
      <c r="Q53" s="1525"/>
      <c r="R53" s="1525"/>
      <c r="S53" s="1525"/>
      <c r="T53" s="1525"/>
      <c r="U53" s="1525"/>
      <c r="V53" s="1525"/>
      <c r="W53" s="1526"/>
    </row>
    <row r="54" spans="1:28" ht="15.6" thickBot="1">
      <c r="A54" s="1537" t="s">
        <v>26</v>
      </c>
      <c r="B54" s="1538"/>
      <c r="C54" s="1538"/>
      <c r="D54" s="1538"/>
      <c r="E54" s="1537" t="s">
        <v>27</v>
      </c>
      <c r="F54" s="1538"/>
      <c r="G54" s="1538"/>
      <c r="H54" s="1538"/>
      <c r="I54" s="1537" t="s">
        <v>28</v>
      </c>
      <c r="J54" s="1538"/>
      <c r="K54" s="1538"/>
      <c r="L54" s="1538"/>
      <c r="M54" s="1538"/>
      <c r="N54" s="1538"/>
      <c r="O54" s="1538"/>
      <c r="P54" s="1539"/>
      <c r="Q54" s="1537" t="s">
        <v>29</v>
      </c>
      <c r="R54" s="1538"/>
      <c r="S54" s="1538"/>
      <c r="T54" s="1538"/>
      <c r="U54" s="1538"/>
      <c r="V54" s="1538"/>
      <c r="W54" s="1539"/>
    </row>
    <row r="55" spans="1:28" ht="13.2">
      <c r="A55" s="1560" t="s">
        <v>99</v>
      </c>
      <c r="B55" s="1561"/>
      <c r="C55" s="1561"/>
      <c r="D55" s="1562"/>
      <c r="E55" s="1529">
        <f>'3) Aspen Impedances'!E11*100</f>
        <v>0</v>
      </c>
      <c r="F55" s="1530"/>
      <c r="G55" s="1589" t="s">
        <v>100</v>
      </c>
      <c r="H55" s="1590"/>
      <c r="I55" s="1502"/>
      <c r="J55" s="1503"/>
      <c r="K55" s="1503"/>
      <c r="L55" s="1503"/>
      <c r="M55" s="1503"/>
      <c r="N55" s="1503"/>
      <c r="O55" s="1503"/>
      <c r="P55" s="1509"/>
      <c r="Q55" s="1522" t="e">
        <f>IF(E55="","","Error = "&amp;ROUND(100*ABS('3) Aspen Impedances'!$E$11/(E55/100)-1),2)&amp;"%"&amp;IF(ABS('3) Aspen Impedances'!$E$11/(E55/100)-1)&gt;0.03,", Impedance Does Not Match Aspen",""))</f>
        <v>#DIV/0!</v>
      </c>
      <c r="R55" s="1522"/>
      <c r="S55" s="1522"/>
      <c r="T55" s="1522"/>
      <c r="U55" s="1522"/>
      <c r="V55" s="1522"/>
      <c r="W55" s="1523"/>
    </row>
    <row r="56" spans="1:28" ht="13.2">
      <c r="A56" s="1435" t="s">
        <v>101</v>
      </c>
      <c r="B56" s="1600"/>
      <c r="C56" s="1600"/>
      <c r="D56" s="1601"/>
      <c r="E56" s="1529">
        <f>'3) Aspen Impedances'!F11*100</f>
        <v>0</v>
      </c>
      <c r="F56" s="1530"/>
      <c r="G56" s="1456" t="s">
        <v>100</v>
      </c>
      <c r="H56" s="1456"/>
      <c r="I56" s="1454"/>
      <c r="J56" s="1461"/>
      <c r="K56" s="1461"/>
      <c r="L56" s="1461"/>
      <c r="M56" s="1461"/>
      <c r="N56" s="1461"/>
      <c r="O56" s="1461"/>
      <c r="P56" s="1455"/>
      <c r="Q56" s="1454" t="e">
        <f>IF(E56="","","Error = "&amp;ROUND(100*ABS('3) Aspen Impedances'!$F$11/(E56/100)-1),2)&amp;"%"&amp;IF(ABS('3) Aspen Impedances'!$F$11/(E56/100)-1)&gt;0.03,", Impedance Does Not Match Aspen",""))</f>
        <v>#DIV/0!</v>
      </c>
      <c r="R56" s="1461"/>
      <c r="S56" s="1461"/>
      <c r="T56" s="1461"/>
      <c r="U56" s="1461"/>
      <c r="V56" s="1461"/>
      <c r="W56" s="1520"/>
    </row>
    <row r="57" spans="1:28" ht="12" customHeight="1">
      <c r="A57" s="1435" t="s">
        <v>102</v>
      </c>
      <c r="B57" s="1436"/>
      <c r="C57" s="1436"/>
      <c r="D57" s="1437"/>
      <c r="E57" s="1529">
        <f>'3) Aspen Impedances'!G11*100</f>
        <v>0</v>
      </c>
      <c r="F57" s="1530"/>
      <c r="G57" s="1456" t="s">
        <v>100</v>
      </c>
      <c r="H57" s="1456"/>
      <c r="I57" s="1454"/>
      <c r="J57" s="1461"/>
      <c r="K57" s="1461"/>
      <c r="L57" s="1461"/>
      <c r="M57" s="1461"/>
      <c r="N57" s="1461"/>
      <c r="O57" s="1461"/>
      <c r="P57" s="1455"/>
      <c r="Q57" s="1454" t="e">
        <f>IF(E57="","","Error = "&amp;ROUND(100*ABS('3) Aspen Impedances'!$G$11/(E57/100)-1),2)&amp;"%"&amp;IF(ABS('3) Aspen Impedances'!$G$11/(E57/100)-1)&gt;0.03,", Impedance Does Not Match Aspen",""))</f>
        <v>#DIV/0!</v>
      </c>
      <c r="R57" s="1461"/>
      <c r="S57" s="1461"/>
      <c r="T57" s="1461"/>
      <c r="U57" s="1461"/>
      <c r="V57" s="1461"/>
      <c r="W57" s="1520"/>
    </row>
    <row r="58" spans="1:28" ht="12" customHeight="1">
      <c r="A58" s="1628" t="s">
        <v>103</v>
      </c>
      <c r="B58" s="1629"/>
      <c r="C58" s="1629"/>
      <c r="D58" s="1630"/>
      <c r="E58" s="1529">
        <f>'3) Aspen Impedances'!H11*100</f>
        <v>0</v>
      </c>
      <c r="F58" s="1530"/>
      <c r="G58" s="1456" t="s">
        <v>100</v>
      </c>
      <c r="H58" s="1456"/>
      <c r="I58" s="1454"/>
      <c r="J58" s="1461"/>
      <c r="K58" s="1461"/>
      <c r="L58" s="1461"/>
      <c r="M58" s="1461"/>
      <c r="N58" s="1461"/>
      <c r="O58" s="1461"/>
      <c r="P58" s="1455"/>
      <c r="Q58" s="1454" t="e">
        <f>IF(E58="","","Error = "&amp;ROUND(100*ABS('3) Aspen Impedances'!$H$11/(E58/100)-1),2)&amp;"%"&amp;IF(ABS('3) Aspen Impedances'!$H$11/(E58/100)-1)&gt;0.03,", Impedance Does Not Match Aspen",""))</f>
        <v>#DIV/0!</v>
      </c>
      <c r="R58" s="1461"/>
      <c r="S58" s="1461"/>
      <c r="T58" s="1461"/>
      <c r="U58" s="1461"/>
      <c r="V58" s="1461"/>
      <c r="W58" s="1520"/>
      <c r="AB58" s="33"/>
    </row>
    <row r="59" spans="1:28" ht="12" customHeight="1">
      <c r="A59" s="1536" t="s">
        <v>104</v>
      </c>
      <c r="B59" s="1433"/>
      <c r="C59" s="1433"/>
      <c r="D59" s="1501"/>
      <c r="E59" s="1543">
        <f>'3) Aspen Impedances'!I11</f>
        <v>0</v>
      </c>
      <c r="F59" s="1544"/>
      <c r="G59" s="1454" t="s">
        <v>105</v>
      </c>
      <c r="H59" s="1455"/>
      <c r="I59" s="1454"/>
      <c r="J59" s="1461"/>
      <c r="K59" s="1461"/>
      <c r="L59" s="1461"/>
      <c r="M59" s="1461"/>
      <c r="N59" s="1461"/>
      <c r="O59" s="1461"/>
      <c r="P59" s="1455"/>
      <c r="Q59" s="1454" t="e">
        <f>IF(E59="","","Error = "&amp;ROUND(100*ABS('3) Aspen Impedances'!$I$11/(E59)-1),2)&amp;"%"&amp;IF(ABS('3) Aspen Impedances'!$I$11/E59-1)&gt;0.03,", Line Length Does Not Match Aspen",""))</f>
        <v>#DIV/0!</v>
      </c>
      <c r="R59" s="1461"/>
      <c r="S59" s="1461"/>
      <c r="T59" s="1461"/>
      <c r="U59" s="1461"/>
      <c r="V59" s="1461"/>
      <c r="W59" s="1520"/>
      <c r="AB59" s="33"/>
    </row>
    <row r="60" spans="1:28" ht="12" customHeight="1">
      <c r="A60" s="1595"/>
      <c r="B60" s="1596"/>
      <c r="C60" s="1596"/>
      <c r="D60" s="1597"/>
      <c r="E60" s="1529"/>
      <c r="F60" s="1530"/>
      <c r="G60" s="1571"/>
      <c r="H60" s="1572"/>
      <c r="I60" s="1454"/>
      <c r="J60" s="1461"/>
      <c r="K60" s="1461"/>
      <c r="L60" s="1461"/>
      <c r="M60" s="1461"/>
      <c r="N60" s="1461"/>
      <c r="O60" s="1461"/>
      <c r="P60" s="1455"/>
      <c r="Q60" s="1454"/>
      <c r="R60" s="1461"/>
      <c r="S60" s="1461"/>
      <c r="T60" s="1461"/>
      <c r="U60" s="1461"/>
      <c r="V60" s="1461"/>
      <c r="W60" s="1520"/>
      <c r="AB60" s="33"/>
    </row>
    <row r="61" spans="1:28" ht="12" customHeight="1">
      <c r="A61" s="1430" t="s">
        <v>106</v>
      </c>
      <c r="B61" s="1431"/>
      <c r="C61" s="1431"/>
      <c r="D61" s="1431"/>
      <c r="E61" s="1529" t="str">
        <f>IF('3) Aspen Impedances'!D20&lt;&gt;"",'3) Aspen Impedances'!D20,"")</f>
        <v/>
      </c>
      <c r="F61" s="1530"/>
      <c r="G61" s="1631"/>
      <c r="H61" s="1632"/>
      <c r="I61" s="1456"/>
      <c r="J61" s="1456"/>
      <c r="K61" s="1456"/>
      <c r="L61" s="1456"/>
      <c r="M61" s="1456"/>
      <c r="N61" s="1456"/>
      <c r="O61" s="1456"/>
      <c r="P61" s="1456"/>
      <c r="Q61" s="1454" t="str">
        <f>IF(E61="Sub30","",IF(E61="","",IF('5) Infeed'!R15=0,"Must Complete Infeed Calculation","")&amp;IF('5) Infeed'!R15=9.7189,"Infeed has not changed from default setting","")))</f>
        <v/>
      </c>
      <c r="R61" s="1461"/>
      <c r="S61" s="1461"/>
      <c r="T61" s="1461"/>
      <c r="U61" s="1461"/>
      <c r="V61" s="1461"/>
      <c r="W61" s="1520"/>
      <c r="AB61" s="33"/>
    </row>
    <row r="62" spans="1:28" ht="12" customHeight="1">
      <c r="A62" s="1533" t="s">
        <v>107</v>
      </c>
      <c r="B62" s="1534"/>
      <c r="C62" s="1534"/>
      <c r="D62" s="1535"/>
      <c r="E62" s="1529" t="str">
        <f>IF('3) Aspen Impedances'!D20&lt;&gt;"",'3) Aspen Impedances'!E20*100,"")</f>
        <v/>
      </c>
      <c r="F62" s="1530"/>
      <c r="G62" s="1456" t="s">
        <v>100</v>
      </c>
      <c r="H62" s="1456"/>
      <c r="I62" s="1454"/>
      <c r="J62" s="1461"/>
      <c r="K62" s="1461"/>
      <c r="L62" s="1461"/>
      <c r="M62" s="1461"/>
      <c r="N62" s="1461"/>
      <c r="O62" s="1461"/>
      <c r="P62" s="1455"/>
      <c r="Q62" s="1454" t="str">
        <f>IF(E62="","","Error = "&amp;ROUND(100*ABS('3) Aspen Impedances'!$E$20/(E62/100)-1),2)&amp;"%"&amp;IF(ABS('3) Aspen Impedances'!$E$20/(E62/100)-1)&gt;0.03,", Impedance Does Not Match Aspen",""))</f>
        <v/>
      </c>
      <c r="R62" s="1461"/>
      <c r="S62" s="1461"/>
      <c r="T62" s="1461"/>
      <c r="U62" s="1461"/>
      <c r="V62" s="1461"/>
      <c r="W62" s="1520"/>
      <c r="Z62" s="33"/>
      <c r="AB62" s="33"/>
    </row>
    <row r="63" spans="1:28" ht="12" customHeight="1">
      <c r="A63" s="1435" t="s">
        <v>108</v>
      </c>
      <c r="B63" s="1600"/>
      <c r="C63" s="1600"/>
      <c r="D63" s="1601"/>
      <c r="E63" s="1529" t="str">
        <f>IF('3) Aspen Impedances'!D20&lt;&gt;"",'3) Aspen Impedances'!F20*100,"")</f>
        <v/>
      </c>
      <c r="F63" s="1530"/>
      <c r="G63" s="1456" t="s">
        <v>100</v>
      </c>
      <c r="H63" s="1456"/>
      <c r="I63" s="1454"/>
      <c r="J63" s="1461"/>
      <c r="K63" s="1461"/>
      <c r="L63" s="1461"/>
      <c r="M63" s="1461"/>
      <c r="N63" s="1461"/>
      <c r="O63" s="1461"/>
      <c r="P63" s="1455"/>
      <c r="Q63" s="1454" t="str">
        <f>IF(E63="","","Error = "&amp;ROUND(100*ABS('3) Aspen Impedances'!$F$20/(E63/100)-1),2)&amp;"%"&amp;IF(ABS('3) Aspen Impedances'!$F$20/(E63/100)-1)&gt;0.03,", Impedance Does Not Match Aspen",""))</f>
        <v/>
      </c>
      <c r="R63" s="1461"/>
      <c r="S63" s="1461"/>
      <c r="T63" s="1461"/>
      <c r="U63" s="1461"/>
      <c r="V63" s="1461"/>
      <c r="W63" s="1520"/>
      <c r="AB63" s="33"/>
    </row>
    <row r="64" spans="1:28" ht="12" customHeight="1">
      <c r="A64" s="1435" t="s">
        <v>109</v>
      </c>
      <c r="B64" s="1436"/>
      <c r="C64" s="1436"/>
      <c r="D64" s="1437"/>
      <c r="E64" s="1529" t="str">
        <f>IF('3) Aspen Impedances'!D20&lt;&gt;"",'3) Aspen Impedances'!G20*100,"")</f>
        <v/>
      </c>
      <c r="F64" s="1530"/>
      <c r="G64" s="1456" t="s">
        <v>100</v>
      </c>
      <c r="H64" s="1456"/>
      <c r="I64" s="1454"/>
      <c r="J64" s="1461"/>
      <c r="K64" s="1461"/>
      <c r="L64" s="1461"/>
      <c r="M64" s="1461"/>
      <c r="N64" s="1461"/>
      <c r="O64" s="1461"/>
      <c r="P64" s="1455"/>
      <c r="Q64" s="1454" t="str">
        <f>IF(E64="","","Error = "&amp;ROUND(100*ABS('3) Aspen Impedances'!$G$20/(E64/100)-1),2)&amp;"%"&amp;IF(ABS('3) Aspen Impedances'!$G$20/(E64/100)-1)&gt;0.03,", Impedance Does Not Match Aspen",""))</f>
        <v/>
      </c>
      <c r="R64" s="1461"/>
      <c r="S64" s="1461"/>
      <c r="T64" s="1461"/>
      <c r="U64" s="1461"/>
      <c r="V64" s="1461"/>
      <c r="W64" s="1520"/>
      <c r="AB64" s="33"/>
    </row>
    <row r="65" spans="1:28" ht="12" customHeight="1">
      <c r="A65" s="1435" t="s">
        <v>110</v>
      </c>
      <c r="B65" s="1436"/>
      <c r="C65" s="1436"/>
      <c r="D65" s="1437"/>
      <c r="E65" s="1529" t="str">
        <f>IF('3) Aspen Impedances'!D20&lt;&gt;"",'3) Aspen Impedances'!H20*100,"")</f>
        <v/>
      </c>
      <c r="F65" s="1530"/>
      <c r="G65" s="1633" t="s">
        <v>100</v>
      </c>
      <c r="H65" s="1635"/>
      <c r="I65" s="1454"/>
      <c r="J65" s="1461"/>
      <c r="K65" s="1461"/>
      <c r="L65" s="1461"/>
      <c r="M65" s="1461"/>
      <c r="N65" s="1461"/>
      <c r="O65" s="1461"/>
      <c r="P65" s="1455"/>
      <c r="Q65" s="1454" t="str">
        <f>IF(E65="","","Error = "&amp;ROUND(100*ABS('3) Aspen Impedances'!$H$20/(E65/100)-1),2)&amp;"%"&amp;IF(ABS('3) Aspen Impedances'!$H$20/(E65/100)-1)&gt;0.03,", Impedance Does Not Match Aspen",""))</f>
        <v/>
      </c>
      <c r="R65" s="1461"/>
      <c r="S65" s="1461"/>
      <c r="T65" s="1461"/>
      <c r="U65" s="1461"/>
      <c r="V65" s="1461"/>
      <c r="W65" s="1520"/>
      <c r="AB65" s="33"/>
    </row>
    <row r="66" spans="1:28" ht="12" customHeight="1">
      <c r="A66" s="1536" t="s">
        <v>104</v>
      </c>
      <c r="B66" s="1434"/>
      <c r="C66" s="1434"/>
      <c r="D66" s="1542"/>
      <c r="E66" s="1543" t="str">
        <f>IF('3) Aspen Impedances'!D20&lt;&gt;"",'3) Aspen Impedances'!I20,"")</f>
        <v/>
      </c>
      <c r="F66" s="1544"/>
      <c r="G66" s="1454" t="s">
        <v>105</v>
      </c>
      <c r="H66" s="1455"/>
      <c r="I66" s="1454"/>
      <c r="J66" s="1461"/>
      <c r="K66" s="1461"/>
      <c r="L66" s="1461"/>
      <c r="M66" s="1461"/>
      <c r="N66" s="1461"/>
      <c r="O66" s="1461"/>
      <c r="P66" s="1455"/>
      <c r="Q66" s="1454" t="str">
        <f>IF(E66="","","Error = "&amp;ROUND(100*ABS('3) Aspen Impedances'!$I$20/(E66)-1),2)&amp;"%"&amp;IF(ABS('3) Aspen Impedances'!$I$20/E66-1)&gt;0.03,", Line Length Does Not Match Aspen",""))</f>
        <v/>
      </c>
      <c r="R66" s="1461"/>
      <c r="S66" s="1461"/>
      <c r="T66" s="1461"/>
      <c r="U66" s="1461"/>
      <c r="V66" s="1461"/>
      <c r="W66" s="1520"/>
    </row>
    <row r="67" spans="1:28" ht="12" hidden="1" customHeight="1">
      <c r="A67" s="1595"/>
      <c r="B67" s="1596"/>
      <c r="C67" s="1596"/>
      <c r="D67" s="1597"/>
      <c r="E67" s="1529"/>
      <c r="F67" s="1530"/>
      <c r="G67" s="1571"/>
      <c r="H67" s="1572"/>
      <c r="I67" s="1454"/>
      <c r="J67" s="1461"/>
      <c r="K67" s="1461"/>
      <c r="L67" s="1461"/>
      <c r="M67" s="1461"/>
      <c r="N67" s="1461"/>
      <c r="O67" s="1461"/>
      <c r="P67" s="1455"/>
      <c r="Q67" s="1454"/>
      <c r="R67" s="1461"/>
      <c r="S67" s="1461"/>
      <c r="T67" s="1461"/>
      <c r="U67" s="1461"/>
      <c r="V67" s="1461"/>
      <c r="W67" s="1520"/>
    </row>
    <row r="68" spans="1:28" ht="12" hidden="1" customHeight="1">
      <c r="A68" s="1430" t="s">
        <v>111</v>
      </c>
      <c r="B68" s="1431"/>
      <c r="C68" s="1431"/>
      <c r="D68" s="1431"/>
      <c r="E68" s="1529" t="str">
        <f>IF('3) Aspen Impedances'!D28&lt;&gt;"",'3) Aspen Impedances'!D28,"")</f>
        <v/>
      </c>
      <c r="F68" s="1530"/>
      <c r="G68" s="1631"/>
      <c r="H68" s="1632"/>
      <c r="I68" s="1456"/>
      <c r="J68" s="1456"/>
      <c r="K68" s="1456"/>
      <c r="L68" s="1456"/>
      <c r="M68" s="1456"/>
      <c r="N68" s="1456"/>
      <c r="O68" s="1456"/>
      <c r="P68" s="1456"/>
      <c r="Q68" s="1454" t="str">
        <f>IF(E68="Sub40","",IF(E68="","",IF('5) Infeed'!R16=0,"Must Complete Infeed Calculation","")&amp;IF('5) Infeed'!R16=17.625,"Infeed has not changed from default setting","")))</f>
        <v/>
      </c>
      <c r="R68" s="1461"/>
      <c r="S68" s="1461"/>
      <c r="T68" s="1461"/>
      <c r="U68" s="1461"/>
      <c r="V68" s="1461"/>
      <c r="W68" s="1520"/>
    </row>
    <row r="69" spans="1:28" ht="12" hidden="1" customHeight="1">
      <c r="A69" s="1533" t="s">
        <v>107</v>
      </c>
      <c r="B69" s="1534"/>
      <c r="C69" s="1534"/>
      <c r="D69" s="1535"/>
      <c r="E69" s="1529" t="str">
        <f>IF('3) Aspen Impedances'!D28&lt;&gt;"",'3) Aspen Impedances'!E28*100,"")</f>
        <v/>
      </c>
      <c r="F69" s="1530"/>
      <c r="G69" s="1456" t="s">
        <v>100</v>
      </c>
      <c r="H69" s="1456"/>
      <c r="I69" s="1454"/>
      <c r="J69" s="1461"/>
      <c r="K69" s="1461"/>
      <c r="L69" s="1461"/>
      <c r="M69" s="1461"/>
      <c r="N69" s="1461"/>
      <c r="O69" s="1461"/>
      <c r="P69" s="1455"/>
      <c r="Q69" s="1454" t="str">
        <f>IF(E69="","","Error = "&amp;ROUND(100*ABS('3) Aspen Impedances'!$E$28/(E69/100)-1),2)&amp;"%"&amp;IF(ABS('3) Aspen Impedances'!$E$28/(E69/100)-1)&gt;0.03,", Impedance Does Not Match Aspen",""))</f>
        <v/>
      </c>
      <c r="R69" s="1461"/>
      <c r="S69" s="1461"/>
      <c r="T69" s="1461"/>
      <c r="U69" s="1461"/>
      <c r="V69" s="1461"/>
      <c r="W69" s="1520"/>
    </row>
    <row r="70" spans="1:28" ht="12" hidden="1" customHeight="1">
      <c r="A70" s="1435" t="s">
        <v>108</v>
      </c>
      <c r="B70" s="1600"/>
      <c r="C70" s="1600"/>
      <c r="D70" s="1601"/>
      <c r="E70" s="1529">
        <f>IF('3) Aspen Impedances'!F28&lt;&gt;"",'3) Aspen Impedances'!F28*100,"")</f>
        <v>0</v>
      </c>
      <c r="F70" s="1530"/>
      <c r="G70" s="1456" t="s">
        <v>100</v>
      </c>
      <c r="H70" s="1456"/>
      <c r="I70" s="1454"/>
      <c r="J70" s="1461"/>
      <c r="K70" s="1461"/>
      <c r="L70" s="1461"/>
      <c r="M70" s="1461"/>
      <c r="N70" s="1461"/>
      <c r="O70" s="1461"/>
      <c r="P70" s="1455"/>
      <c r="Q70" s="1454" t="e">
        <f>IF(E70="","","Error = "&amp;ROUND(100*ABS('3) Aspen Impedances'!$F$28/(E70/100)-1),2)&amp;"%"&amp;IF(ABS('3) Aspen Impedances'!$F$28/(E70/100)-1)&gt;0.03,", Impedance Does Not Match Aspen",""))</f>
        <v>#DIV/0!</v>
      </c>
      <c r="R70" s="1461"/>
      <c r="S70" s="1461"/>
      <c r="T70" s="1461"/>
      <c r="U70" s="1461"/>
      <c r="V70" s="1461"/>
      <c r="W70" s="1520"/>
    </row>
    <row r="71" spans="1:28" ht="12" hidden="1" customHeight="1">
      <c r="A71" s="1435" t="s">
        <v>109</v>
      </c>
      <c r="B71" s="1436"/>
      <c r="C71" s="1436"/>
      <c r="D71" s="1437"/>
      <c r="E71" s="1529" t="str">
        <f>IF('3) Aspen Impedances'!D28&lt;&gt;"",'3) Aspen Impedances'!G28*100,"")</f>
        <v/>
      </c>
      <c r="F71" s="1530"/>
      <c r="G71" s="1456" t="s">
        <v>100</v>
      </c>
      <c r="H71" s="1456"/>
      <c r="I71" s="1454"/>
      <c r="J71" s="1461"/>
      <c r="K71" s="1461"/>
      <c r="L71" s="1461"/>
      <c r="M71" s="1461"/>
      <c r="N71" s="1461"/>
      <c r="O71" s="1461"/>
      <c r="P71" s="1455"/>
      <c r="Q71" s="1454" t="str">
        <f>IF(E71="","","Error = "&amp;ROUND(100*ABS('3) Aspen Impedances'!$G$28/(E71/100)-1),2)&amp;"%"&amp;IF(ABS('3) Aspen Impedances'!$G$28/(E71/100)-1)&gt;0.03,", Impedance Does Not Match Aspen",""))</f>
        <v/>
      </c>
      <c r="R71" s="1461"/>
      <c r="S71" s="1461"/>
      <c r="T71" s="1461"/>
      <c r="U71" s="1461"/>
      <c r="V71" s="1461"/>
      <c r="W71" s="1520"/>
    </row>
    <row r="72" spans="1:28" ht="12" hidden="1" customHeight="1">
      <c r="A72" s="1435" t="s">
        <v>110</v>
      </c>
      <c r="B72" s="1436"/>
      <c r="C72" s="1436"/>
      <c r="D72" s="1437"/>
      <c r="E72" s="1529" t="str">
        <f>IF('3) Aspen Impedances'!D28&lt;&gt;"",'3) Aspen Impedances'!H28*100,"")</f>
        <v/>
      </c>
      <c r="F72" s="1530"/>
      <c r="G72" s="1456" t="s">
        <v>100</v>
      </c>
      <c r="H72" s="1456"/>
      <c r="I72" s="1454"/>
      <c r="J72" s="1461"/>
      <c r="K72" s="1461"/>
      <c r="L72" s="1461"/>
      <c r="M72" s="1461"/>
      <c r="N72" s="1461"/>
      <c r="O72" s="1461"/>
      <c r="P72" s="1455"/>
      <c r="Q72" s="1454" t="str">
        <f>IF(E72="","","Error = "&amp;ROUND(100*ABS('3) Aspen Impedances'!$H$28/(E72/100)-1),2)&amp;"%"&amp;IF(ABS('3) Aspen Impedances'!$H$28/(E72/100)-1)&gt;0.03,", Impedance Does Not Match Aspen",""))</f>
        <v/>
      </c>
      <c r="R72" s="1461"/>
      <c r="S72" s="1461"/>
      <c r="T72" s="1461"/>
      <c r="U72" s="1461"/>
      <c r="V72" s="1461"/>
      <c r="W72" s="1520"/>
    </row>
    <row r="73" spans="1:28" ht="12" hidden="1" customHeight="1">
      <c r="A73" s="1536" t="s">
        <v>104</v>
      </c>
      <c r="B73" s="1434"/>
      <c r="C73" s="1434"/>
      <c r="D73" s="1542"/>
      <c r="E73" s="1543" t="str">
        <f>IF('3) Aspen Impedances'!D28&lt;&gt;"",'3) Aspen Impedances'!I28,"")</f>
        <v/>
      </c>
      <c r="F73" s="1544"/>
      <c r="G73" s="1454" t="s">
        <v>105</v>
      </c>
      <c r="H73" s="1455"/>
      <c r="I73" s="1454"/>
      <c r="J73" s="1461"/>
      <c r="K73" s="1461"/>
      <c r="L73" s="1461"/>
      <c r="M73" s="1461"/>
      <c r="N73" s="1461"/>
      <c r="O73" s="1461"/>
      <c r="P73" s="1455"/>
      <c r="Q73" s="1454" t="str">
        <f>IF(E73="","","Error = "&amp;ROUND(100*ABS('3) Aspen Impedances'!$I$28/(E73)-1),2)&amp;"%"&amp;IF(ABS('3) Aspen Impedances'!$I$28/E73-1)&gt;0.03,", Line Length Does Not Match Aspen",""))</f>
        <v/>
      </c>
      <c r="R73" s="1461"/>
      <c r="S73" s="1461"/>
      <c r="T73" s="1461"/>
      <c r="U73" s="1461"/>
      <c r="V73" s="1461"/>
      <c r="W73" s="1520"/>
    </row>
    <row r="74" spans="1:28" ht="12" hidden="1" customHeight="1">
      <c r="A74" s="1595"/>
      <c r="B74" s="1596"/>
      <c r="C74" s="1596"/>
      <c r="D74" s="1597"/>
      <c r="E74" s="1529"/>
      <c r="F74" s="1530"/>
      <c r="G74" s="1571"/>
      <c r="H74" s="1572"/>
      <c r="I74" s="1454"/>
      <c r="J74" s="1461"/>
      <c r="K74" s="1461"/>
      <c r="L74" s="1461"/>
      <c r="M74" s="1461"/>
      <c r="N74" s="1461"/>
      <c r="O74" s="1461"/>
      <c r="P74" s="1455"/>
      <c r="Q74" s="1454"/>
      <c r="R74" s="1461"/>
      <c r="S74" s="1461"/>
      <c r="T74" s="1461"/>
      <c r="U74" s="1461"/>
      <c r="V74" s="1461"/>
      <c r="W74" s="1520"/>
    </row>
    <row r="75" spans="1:28" ht="12" hidden="1" customHeight="1">
      <c r="A75" s="1430" t="s">
        <v>112</v>
      </c>
      <c r="B75" s="1431"/>
      <c r="C75" s="1431"/>
      <c r="D75" s="1431"/>
      <c r="E75" s="1529" t="str">
        <f>IF('3) Aspen Impedances'!D36&lt;&gt;"",'3) Aspen Impedances'!D36,"")</f>
        <v/>
      </c>
      <c r="F75" s="1530"/>
      <c r="G75" s="1454"/>
      <c r="H75" s="1455"/>
      <c r="I75" s="1456"/>
      <c r="J75" s="1456"/>
      <c r="K75" s="1456"/>
      <c r="L75" s="1456"/>
      <c r="M75" s="1456"/>
      <c r="N75" s="1456"/>
      <c r="O75" s="1456"/>
      <c r="P75" s="1456"/>
      <c r="Q75" s="1454" t="str">
        <f>IF(E75="Sub50","",IF(E75="","",IF('5) Infeed'!R17=0,"Must Complete Infeed Calculation","")&amp;IF('5) Infeed'!R17=2.5,"Infeed has not changed from default setting","")))</f>
        <v/>
      </c>
      <c r="R75" s="1461"/>
      <c r="S75" s="1461"/>
      <c r="T75" s="1461"/>
      <c r="U75" s="1461"/>
      <c r="V75" s="1461"/>
      <c r="W75" s="1520"/>
    </row>
    <row r="76" spans="1:28" ht="12" hidden="1" customHeight="1">
      <c r="A76" s="1533" t="s">
        <v>107</v>
      </c>
      <c r="B76" s="1534"/>
      <c r="C76" s="1534"/>
      <c r="D76" s="1535"/>
      <c r="E76" s="1529" t="str">
        <f>IF('3) Aspen Impedances'!D36&lt;&gt;"",'3) Aspen Impedances'!E36*100,"")</f>
        <v/>
      </c>
      <c r="F76" s="1530"/>
      <c r="G76" s="1456" t="s">
        <v>100</v>
      </c>
      <c r="H76" s="1456"/>
      <c r="I76" s="1454"/>
      <c r="J76" s="1461"/>
      <c r="K76" s="1461"/>
      <c r="L76" s="1461"/>
      <c r="M76" s="1461"/>
      <c r="N76" s="1461"/>
      <c r="O76" s="1461"/>
      <c r="P76" s="1455"/>
      <c r="Q76" s="1454" t="str">
        <f>IF(E76="","","Error = "&amp;ROUND(100*ABS('3) Aspen Impedances'!$E$36/(E76/100)-1),2)&amp;"%"&amp;IF(ABS('3) Aspen Impedances'!$E$36/(E76/100)-1)&gt;0.03,", Impedance Does Not Match Aspen",""))</f>
        <v/>
      </c>
      <c r="R76" s="1461"/>
      <c r="S76" s="1461"/>
      <c r="T76" s="1461"/>
      <c r="U76" s="1461"/>
      <c r="V76" s="1461"/>
      <c r="W76" s="1520"/>
    </row>
    <row r="77" spans="1:28" ht="12" hidden="1" customHeight="1">
      <c r="A77" s="1435" t="s">
        <v>108</v>
      </c>
      <c r="B77" s="1600"/>
      <c r="C77" s="1600"/>
      <c r="D77" s="1601"/>
      <c r="E77" s="1529" t="str">
        <f>IF('3) Aspen Impedances'!D36&lt;&gt;"",'3) Aspen Impedances'!F36*100,"")</f>
        <v/>
      </c>
      <c r="F77" s="1530"/>
      <c r="G77" s="1456" t="s">
        <v>100</v>
      </c>
      <c r="H77" s="1456"/>
      <c r="I77" s="1454"/>
      <c r="J77" s="1461"/>
      <c r="K77" s="1461"/>
      <c r="L77" s="1461"/>
      <c r="M77" s="1461"/>
      <c r="N77" s="1461"/>
      <c r="O77" s="1461"/>
      <c r="P77" s="1455"/>
      <c r="Q77" s="1454" t="str">
        <f>IF(E77="","","Error = "&amp;ROUND(100*ABS('3) Aspen Impedances'!$F$36/(E77/100)-1),2)&amp;"%"&amp;IF(ABS('3) Aspen Impedances'!$F$36/(E77/100)-1)&gt;0.03,", Impedance Does Not Match Aspen",""))</f>
        <v/>
      </c>
      <c r="R77" s="1461"/>
      <c r="S77" s="1461"/>
      <c r="T77" s="1461"/>
      <c r="U77" s="1461"/>
      <c r="V77" s="1461"/>
      <c r="W77" s="1520"/>
    </row>
    <row r="78" spans="1:28" ht="12" hidden="1" customHeight="1">
      <c r="A78" s="1435" t="s">
        <v>109</v>
      </c>
      <c r="B78" s="1436"/>
      <c r="C78" s="1436"/>
      <c r="D78" s="1437"/>
      <c r="E78" s="1529" t="str">
        <f>IF('3) Aspen Impedances'!D36&lt;&gt;"",'3) Aspen Impedances'!G36*100,"")</f>
        <v/>
      </c>
      <c r="F78" s="1530"/>
      <c r="G78" s="1456" t="s">
        <v>100</v>
      </c>
      <c r="H78" s="1456"/>
      <c r="I78" s="1454"/>
      <c r="J78" s="1461"/>
      <c r="K78" s="1461"/>
      <c r="L78" s="1461"/>
      <c r="M78" s="1461"/>
      <c r="N78" s="1461"/>
      <c r="O78" s="1461"/>
      <c r="P78" s="1455"/>
      <c r="Q78" s="1454" t="str">
        <f>IF(E78="","","Error = "&amp;ROUND(100*ABS('3) Aspen Impedances'!$G$36/(E78/100)-1),2)&amp;"%"&amp;IF(ABS('3) Aspen Impedances'!$G$36/(E78/100)-1)&gt;0.03,", Impedance Does Not Match Aspen",""))</f>
        <v/>
      </c>
      <c r="R78" s="1461"/>
      <c r="S78" s="1461"/>
      <c r="T78" s="1461"/>
      <c r="U78" s="1461"/>
      <c r="V78" s="1461"/>
      <c r="W78" s="1520"/>
    </row>
    <row r="79" spans="1:28" ht="12" hidden="1" customHeight="1">
      <c r="A79" s="1435" t="s">
        <v>110</v>
      </c>
      <c r="B79" s="1436"/>
      <c r="C79" s="1436"/>
      <c r="D79" s="1437"/>
      <c r="E79" s="1529" t="str">
        <f>IF('3) Aspen Impedances'!D36&lt;&gt;"",'3) Aspen Impedances'!H36*100,"")</f>
        <v/>
      </c>
      <c r="F79" s="1530"/>
      <c r="G79" s="1456" t="s">
        <v>100</v>
      </c>
      <c r="H79" s="1456"/>
      <c r="I79" s="1454"/>
      <c r="J79" s="1461"/>
      <c r="K79" s="1461"/>
      <c r="L79" s="1461"/>
      <c r="M79" s="1461"/>
      <c r="N79" s="1461"/>
      <c r="O79" s="1461"/>
      <c r="P79" s="1455"/>
      <c r="Q79" s="1454" t="str">
        <f>IF(E79="","","Error = "&amp;ROUND(100*ABS('3) Aspen Impedances'!$H$36/(E79/100)-1),2)&amp;"%"&amp;IF(ABS('3) Aspen Impedances'!$H$36/(E79/100)-1)&gt;0.03,", Impedance Does Not Match Aspen",""))</f>
        <v/>
      </c>
      <c r="R79" s="1461"/>
      <c r="S79" s="1461"/>
      <c r="T79" s="1461"/>
      <c r="U79" s="1461"/>
      <c r="V79" s="1461"/>
      <c r="W79" s="1520"/>
    </row>
    <row r="80" spans="1:28" ht="12" hidden="1" customHeight="1">
      <c r="A80" s="1536" t="s">
        <v>104</v>
      </c>
      <c r="B80" s="1434"/>
      <c r="C80" s="1434"/>
      <c r="D80" s="1542"/>
      <c r="E80" s="1543" t="str">
        <f>IF('3) Aspen Impedances'!D36&lt;&gt;"",'3) Aspen Impedances'!I36,"")</f>
        <v/>
      </c>
      <c r="F80" s="1544"/>
      <c r="G80" s="1454" t="s">
        <v>105</v>
      </c>
      <c r="H80" s="1455"/>
      <c r="I80" s="1454"/>
      <c r="J80" s="1461"/>
      <c r="K80" s="1461"/>
      <c r="L80" s="1461"/>
      <c r="M80" s="1461"/>
      <c r="N80" s="1461"/>
      <c r="O80" s="1461"/>
      <c r="P80" s="1455"/>
      <c r="Q80" s="1454" t="str">
        <f>IF(E80="","","Error = "&amp;ROUND(100*ABS('3) Aspen Impedances'!$I$36/(E80)-1),2)&amp;"%"&amp;IF(ABS('3) Aspen Impedances'!$I$36/E80-1)&gt;0.03,", Line Length Does Not Match Aspen",""))</f>
        <v/>
      </c>
      <c r="R80" s="1461"/>
      <c r="S80" s="1461"/>
      <c r="T80" s="1461"/>
      <c r="U80" s="1461"/>
      <c r="V80" s="1461"/>
      <c r="W80" s="1520"/>
    </row>
    <row r="81" spans="1:23" ht="12" hidden="1" customHeight="1">
      <c r="A81" s="1595"/>
      <c r="B81" s="1596"/>
      <c r="C81" s="1596"/>
      <c r="D81" s="1597"/>
      <c r="E81" s="1529"/>
      <c r="F81" s="1530"/>
      <c r="G81" s="1571"/>
      <c r="H81" s="1572"/>
      <c r="I81" s="1454"/>
      <c r="J81" s="1461"/>
      <c r="K81" s="1461"/>
      <c r="L81" s="1461"/>
      <c r="M81" s="1461"/>
      <c r="N81" s="1461"/>
      <c r="O81" s="1461"/>
      <c r="P81" s="1455"/>
      <c r="Q81" s="1454"/>
      <c r="R81" s="1461"/>
      <c r="S81" s="1461"/>
      <c r="T81" s="1461"/>
      <c r="U81" s="1461"/>
      <c r="V81" s="1461"/>
      <c r="W81" s="1520"/>
    </row>
    <row r="82" spans="1:23" ht="12" hidden="1" customHeight="1">
      <c r="A82" s="1430" t="s">
        <v>113</v>
      </c>
      <c r="B82" s="1431"/>
      <c r="C82" s="1431"/>
      <c r="D82" s="1431"/>
      <c r="E82" s="1529" t="str">
        <f>IF('3) Aspen Impedances'!D44&lt;&gt;"",'3) Aspen Impedances'!D44,"")</f>
        <v/>
      </c>
      <c r="F82" s="1530"/>
      <c r="G82" s="1454"/>
      <c r="H82" s="1455"/>
      <c r="I82" s="1456"/>
      <c r="J82" s="1456"/>
      <c r="K82" s="1456"/>
      <c r="L82" s="1456"/>
      <c r="M82" s="1456"/>
      <c r="N82" s="1456"/>
      <c r="O82" s="1456"/>
      <c r="P82" s="1456"/>
      <c r="Q82" s="1454" t="str">
        <f>IF(E82="","",IF('5) Infeed'!R18=0,"Must Complete Infeed Calculation",""))</f>
        <v/>
      </c>
      <c r="R82" s="1461"/>
      <c r="S82" s="1461"/>
      <c r="T82" s="1461"/>
      <c r="U82" s="1461"/>
      <c r="V82" s="1461"/>
      <c r="W82" s="1520"/>
    </row>
    <row r="83" spans="1:23" ht="12" hidden="1" customHeight="1">
      <c r="A83" s="1533" t="s">
        <v>107</v>
      </c>
      <c r="B83" s="1534"/>
      <c r="C83" s="1534"/>
      <c r="D83" s="1535"/>
      <c r="E83" s="1529" t="str">
        <f>IF('3) Aspen Impedances'!D44&lt;&gt;"",'3) Aspen Impedances'!E44*100,"")</f>
        <v/>
      </c>
      <c r="F83" s="1530"/>
      <c r="G83" s="1456" t="s">
        <v>100</v>
      </c>
      <c r="H83" s="1456"/>
      <c r="I83" s="1454"/>
      <c r="J83" s="1461"/>
      <c r="K83" s="1461"/>
      <c r="L83" s="1461"/>
      <c r="M83" s="1461"/>
      <c r="N83" s="1461"/>
      <c r="O83" s="1461"/>
      <c r="P83" s="1455"/>
      <c r="Q83" s="1454" t="str">
        <f>IF(E83="","","Error = "&amp;ROUND(100*ABS('3) Aspen Impedances'!$E$44/(E83/100)-1),2)&amp;"%"&amp;IF(ABS('3) Aspen Impedances'!$E$44/(E83/100)-1)&gt;0.03,", Impedance Does Not Match Aspen",""))</f>
        <v/>
      </c>
      <c r="R83" s="1461"/>
      <c r="S83" s="1461"/>
      <c r="T83" s="1461"/>
      <c r="U83" s="1461"/>
      <c r="V83" s="1461"/>
      <c r="W83" s="1520"/>
    </row>
    <row r="84" spans="1:23" ht="12" hidden="1" customHeight="1">
      <c r="A84" s="1435" t="s">
        <v>108</v>
      </c>
      <c r="B84" s="1600"/>
      <c r="C84" s="1600"/>
      <c r="D84" s="1601"/>
      <c r="E84" s="1529" t="str">
        <f>IF('3) Aspen Impedances'!D44&lt;&gt;"",'3) Aspen Impedances'!F44*100,"")</f>
        <v/>
      </c>
      <c r="F84" s="1530"/>
      <c r="G84" s="1456" t="s">
        <v>100</v>
      </c>
      <c r="H84" s="1456"/>
      <c r="I84" s="1454"/>
      <c r="J84" s="1461"/>
      <c r="K84" s="1461"/>
      <c r="L84" s="1461"/>
      <c r="M84" s="1461"/>
      <c r="N84" s="1461"/>
      <c r="O84" s="1461"/>
      <c r="P84" s="1455"/>
      <c r="Q84" s="1454" t="str">
        <f>IF(E84="","","Error = "&amp;ROUND(100*ABS('3) Aspen Impedances'!$F$44/(E84/100)-1),2)&amp;"%"&amp;IF(ABS('3) Aspen Impedances'!$F$44/(E84/100)-1)&gt;0.03,", Impedance Does Not Match Aspen",""))</f>
        <v/>
      </c>
      <c r="R84" s="1461"/>
      <c r="S84" s="1461"/>
      <c r="T84" s="1461"/>
      <c r="U84" s="1461"/>
      <c r="V84" s="1461"/>
      <c r="W84" s="1520"/>
    </row>
    <row r="85" spans="1:23" ht="12" hidden="1" customHeight="1">
      <c r="A85" s="1435" t="s">
        <v>109</v>
      </c>
      <c r="B85" s="1436"/>
      <c r="C85" s="1436"/>
      <c r="D85" s="1437"/>
      <c r="E85" s="1529" t="str">
        <f>IF('3) Aspen Impedances'!D44&lt;&gt;"",'3) Aspen Impedances'!G44*100,"")</f>
        <v/>
      </c>
      <c r="F85" s="1530"/>
      <c r="G85" s="1456" t="s">
        <v>100</v>
      </c>
      <c r="H85" s="1456"/>
      <c r="I85" s="1454"/>
      <c r="J85" s="1461"/>
      <c r="K85" s="1461"/>
      <c r="L85" s="1461"/>
      <c r="M85" s="1461"/>
      <c r="N85" s="1461"/>
      <c r="O85" s="1461"/>
      <c r="P85" s="1455"/>
      <c r="Q85" s="1454" t="str">
        <f>IF(E85="","","Error = "&amp;ROUND(100*ABS('3) Aspen Impedances'!$G$44/(E85/100)-1),2)&amp;"%"&amp;IF(ABS('3) Aspen Impedances'!$G$44/(E85/100)-1)&gt;0.03,", Impedance Does Not Match Aspen",""))</f>
        <v/>
      </c>
      <c r="R85" s="1461"/>
      <c r="S85" s="1461"/>
      <c r="T85" s="1461"/>
      <c r="U85" s="1461"/>
      <c r="V85" s="1461"/>
      <c r="W85" s="1520"/>
    </row>
    <row r="86" spans="1:23" ht="12" hidden="1" customHeight="1">
      <c r="A86" s="1435" t="s">
        <v>110</v>
      </c>
      <c r="B86" s="1436"/>
      <c r="C86" s="1436"/>
      <c r="D86" s="1437"/>
      <c r="E86" s="1529" t="str">
        <f>IF('3) Aspen Impedances'!D44&lt;&gt;"",'3) Aspen Impedances'!H44*100,"")</f>
        <v/>
      </c>
      <c r="F86" s="1530"/>
      <c r="G86" s="1456" t="s">
        <v>100</v>
      </c>
      <c r="H86" s="1456"/>
      <c r="I86" s="1454"/>
      <c r="J86" s="1461"/>
      <c r="K86" s="1461"/>
      <c r="L86" s="1461"/>
      <c r="M86" s="1461"/>
      <c r="N86" s="1461"/>
      <c r="O86" s="1461"/>
      <c r="P86" s="1455"/>
      <c r="Q86" s="1454" t="str">
        <f>IF(E86="","","Error = "&amp;ROUND(100*ABS('3) Aspen Impedances'!$H$44/(E86/100)-1),2)&amp;"%"&amp;IF(ABS('3) Aspen Impedances'!$H$44/(E86/100)-1)&gt;0.03,", Impedance Does Not Match Aspen",""))</f>
        <v/>
      </c>
      <c r="R86" s="1461"/>
      <c r="S86" s="1461"/>
      <c r="T86" s="1461"/>
      <c r="U86" s="1461"/>
      <c r="V86" s="1461"/>
      <c r="W86" s="1520"/>
    </row>
    <row r="87" spans="1:23" ht="12" hidden="1" customHeight="1">
      <c r="A87" s="1536" t="s">
        <v>104</v>
      </c>
      <c r="B87" s="1434"/>
      <c r="C87" s="1434"/>
      <c r="D87" s="1542"/>
      <c r="E87" s="1543" t="str">
        <f>IF('3) Aspen Impedances'!D44&lt;&gt;"",'3) Aspen Impedances'!I44,"")</f>
        <v/>
      </c>
      <c r="F87" s="1544"/>
      <c r="G87" s="1454" t="s">
        <v>105</v>
      </c>
      <c r="H87" s="1455"/>
      <c r="I87" s="1454"/>
      <c r="J87" s="1461"/>
      <c r="K87" s="1461"/>
      <c r="L87" s="1461"/>
      <c r="M87" s="1461"/>
      <c r="N87" s="1461"/>
      <c r="O87" s="1461"/>
      <c r="P87" s="1455"/>
      <c r="Q87" s="1454" t="str">
        <f>IF(E87="","","Error = "&amp;ROUND(100*ABS('3) Aspen Impedances'!$I$44/(E87)-1),2)&amp;"%"&amp;IF(ABS('3) Aspen Impedances'!$I$44/E87-1)&gt;0.03,", Line Length Does Not Match Aspen",""))</f>
        <v/>
      </c>
      <c r="R87" s="1461"/>
      <c r="S87" s="1461"/>
      <c r="T87" s="1461"/>
      <c r="U87" s="1461"/>
      <c r="V87" s="1461"/>
      <c r="W87" s="1520"/>
    </row>
    <row r="88" spans="1:23" ht="12" hidden="1" customHeight="1">
      <c r="A88" s="1595"/>
      <c r="B88" s="1596"/>
      <c r="C88" s="1596"/>
      <c r="D88" s="1597"/>
      <c r="E88" s="1529"/>
      <c r="F88" s="1530"/>
      <c r="G88" s="1571"/>
      <c r="H88" s="1572"/>
      <c r="I88" s="1454"/>
      <c r="J88" s="1461"/>
      <c r="K88" s="1461"/>
      <c r="L88" s="1461"/>
      <c r="M88" s="1461"/>
      <c r="N88" s="1461"/>
      <c r="O88" s="1461"/>
      <c r="P88" s="1455"/>
      <c r="Q88" s="1454"/>
      <c r="R88" s="1461"/>
      <c r="S88" s="1461"/>
      <c r="T88" s="1461"/>
      <c r="U88" s="1461"/>
      <c r="V88" s="1461"/>
      <c r="W88" s="1520"/>
    </row>
    <row r="89" spans="1:23" ht="12" hidden="1" customHeight="1">
      <c r="A89" s="1430" t="s">
        <v>114</v>
      </c>
      <c r="B89" s="1431"/>
      <c r="C89" s="1431"/>
      <c r="D89" s="1431"/>
      <c r="E89" s="1529" t="str">
        <f>IF('3) Aspen Impedances'!D52&lt;&gt;"",'3) Aspen Impedances'!D52,"")</f>
        <v/>
      </c>
      <c r="F89" s="1530"/>
      <c r="G89" s="1454"/>
      <c r="H89" s="1455"/>
      <c r="I89" s="1456"/>
      <c r="J89" s="1456"/>
      <c r="K89" s="1456"/>
      <c r="L89" s="1456"/>
      <c r="M89" s="1456"/>
      <c r="N89" s="1456"/>
      <c r="O89" s="1456"/>
      <c r="P89" s="1456"/>
      <c r="Q89" s="1454" t="str">
        <f>IF(E89="","",IF('5) Infeed'!R19=0,"Must Complete Infeed Calculation",""))</f>
        <v/>
      </c>
      <c r="R89" s="1461"/>
      <c r="S89" s="1461"/>
      <c r="T89" s="1461"/>
      <c r="U89" s="1461"/>
      <c r="V89" s="1461"/>
      <c r="W89" s="1520"/>
    </row>
    <row r="90" spans="1:23" ht="12" hidden="1" customHeight="1">
      <c r="A90" s="1533" t="s">
        <v>107</v>
      </c>
      <c r="B90" s="1534"/>
      <c r="C90" s="1534"/>
      <c r="D90" s="1535"/>
      <c r="E90" s="1529" t="str">
        <f>IF('3) Aspen Impedances'!D52&lt;&gt;"",'3) Aspen Impedances'!E52*100,"")</f>
        <v/>
      </c>
      <c r="F90" s="1530"/>
      <c r="G90" s="1456" t="s">
        <v>100</v>
      </c>
      <c r="H90" s="1456"/>
      <c r="I90" s="1454"/>
      <c r="J90" s="1461"/>
      <c r="K90" s="1461"/>
      <c r="L90" s="1461"/>
      <c r="M90" s="1461"/>
      <c r="N90" s="1461"/>
      <c r="O90" s="1461"/>
      <c r="P90" s="1455"/>
      <c r="Q90" s="1454" t="str">
        <f>IF(E90="","","Error = "&amp;ROUND(100*ABS('3) Aspen Impedances'!$E$52/(E90/100)-1),2)&amp;"%"&amp;IF(ABS('3) Aspen Impedances'!$E$52/(E90/100)-1)&gt;0.03,", Impedance Does Not Match Aspen",""))</f>
        <v/>
      </c>
      <c r="R90" s="1461"/>
      <c r="S90" s="1461"/>
      <c r="T90" s="1461"/>
      <c r="U90" s="1461"/>
      <c r="V90" s="1461"/>
      <c r="W90" s="1520"/>
    </row>
    <row r="91" spans="1:23" ht="12" hidden="1" customHeight="1">
      <c r="A91" s="1435" t="s">
        <v>108</v>
      </c>
      <c r="B91" s="1600"/>
      <c r="C91" s="1600"/>
      <c r="D91" s="1601"/>
      <c r="E91" s="1529" t="str">
        <f>IF('3) Aspen Impedances'!D52&lt;&gt;"",'3) Aspen Impedances'!F52*100,"")</f>
        <v/>
      </c>
      <c r="F91" s="1530"/>
      <c r="G91" s="1456" t="s">
        <v>100</v>
      </c>
      <c r="H91" s="1456"/>
      <c r="I91" s="1454"/>
      <c r="J91" s="1461"/>
      <c r="K91" s="1461"/>
      <c r="L91" s="1461"/>
      <c r="M91" s="1461"/>
      <c r="N91" s="1461"/>
      <c r="O91" s="1461"/>
      <c r="P91" s="1455"/>
      <c r="Q91" s="1454" t="str">
        <f>IF(E91="","","Error = "&amp;ROUND(100*ABS('3) Aspen Impedances'!$F$52/(E91/100)-1),2)&amp;"%"&amp;IF(ABS('3) Aspen Impedances'!$F$52/(E91/100)-1)&gt;0.03,", Impedance Does Not Match Aspen",""))</f>
        <v/>
      </c>
      <c r="R91" s="1461"/>
      <c r="S91" s="1461"/>
      <c r="T91" s="1461"/>
      <c r="U91" s="1461"/>
      <c r="V91" s="1461"/>
      <c r="W91" s="1520"/>
    </row>
    <row r="92" spans="1:23" ht="12" hidden="1" customHeight="1">
      <c r="A92" s="1435" t="s">
        <v>109</v>
      </c>
      <c r="B92" s="1436"/>
      <c r="C92" s="1436"/>
      <c r="D92" s="1437"/>
      <c r="E92" s="1529" t="str">
        <f>IF('3) Aspen Impedances'!D52&lt;&gt;"",'3) Aspen Impedances'!G52*100,"")</f>
        <v/>
      </c>
      <c r="F92" s="1530"/>
      <c r="G92" s="1456" t="s">
        <v>100</v>
      </c>
      <c r="H92" s="1456"/>
      <c r="I92" s="1454"/>
      <c r="J92" s="1461"/>
      <c r="K92" s="1461"/>
      <c r="L92" s="1461"/>
      <c r="M92" s="1461"/>
      <c r="N92" s="1461"/>
      <c r="O92" s="1461"/>
      <c r="P92" s="1455"/>
      <c r="Q92" s="1454" t="str">
        <f>IF(E92="","","Error = "&amp;ROUND(100*ABS('3) Aspen Impedances'!$G$52/(E92/100)-1),2)&amp;"%"&amp;IF(ABS('3) Aspen Impedances'!$G$52/(E92/100)-1)&gt;0.03,", Impedance Does Not Match Aspen",""))</f>
        <v/>
      </c>
      <c r="R92" s="1461"/>
      <c r="S92" s="1461"/>
      <c r="T92" s="1461"/>
      <c r="U92" s="1461"/>
      <c r="V92" s="1461"/>
      <c r="W92" s="1520"/>
    </row>
    <row r="93" spans="1:23" ht="12" hidden="1" customHeight="1">
      <c r="A93" s="1435" t="s">
        <v>110</v>
      </c>
      <c r="B93" s="1436"/>
      <c r="C93" s="1436"/>
      <c r="D93" s="1437"/>
      <c r="E93" s="1529" t="str">
        <f>IF('3) Aspen Impedances'!D52&lt;&gt;"",'3) Aspen Impedances'!H52*100,"")</f>
        <v/>
      </c>
      <c r="F93" s="1530"/>
      <c r="G93" s="1456" t="s">
        <v>100</v>
      </c>
      <c r="H93" s="1456"/>
      <c r="I93" s="1454"/>
      <c r="J93" s="1461"/>
      <c r="K93" s="1461"/>
      <c r="L93" s="1461"/>
      <c r="M93" s="1461"/>
      <c r="N93" s="1461"/>
      <c r="O93" s="1461"/>
      <c r="P93" s="1455"/>
      <c r="Q93" s="1454" t="str">
        <f>IF(E93="","","Error = "&amp;ROUND(100*ABS('3) Aspen Impedances'!$H$52/(E93/100)-1),2)&amp;"%"&amp;IF(ABS('3) Aspen Impedances'!$H$52/(E93/100)-1)&gt;0.03,", Impedance Does Not Match Aspen",""))</f>
        <v/>
      </c>
      <c r="R93" s="1461"/>
      <c r="S93" s="1461"/>
      <c r="T93" s="1461"/>
      <c r="U93" s="1461"/>
      <c r="V93" s="1461"/>
      <c r="W93" s="1520"/>
    </row>
    <row r="94" spans="1:23" ht="12" hidden="1" customHeight="1">
      <c r="A94" s="1536" t="s">
        <v>104</v>
      </c>
      <c r="B94" s="1434"/>
      <c r="C94" s="1434"/>
      <c r="D94" s="1542"/>
      <c r="E94" s="1543" t="str">
        <f>IF('3) Aspen Impedances'!D52&lt;&gt;"",'3) Aspen Impedances'!I52,"")</f>
        <v/>
      </c>
      <c r="F94" s="1544"/>
      <c r="G94" s="1454" t="s">
        <v>105</v>
      </c>
      <c r="H94" s="1455"/>
      <c r="I94" s="1454"/>
      <c r="J94" s="1461"/>
      <c r="K94" s="1461"/>
      <c r="L94" s="1461"/>
      <c r="M94" s="1461"/>
      <c r="N94" s="1461"/>
      <c r="O94" s="1461"/>
      <c r="P94" s="1455"/>
      <c r="Q94" s="1454" t="str">
        <f>IF(E94="","","Error = "&amp;ROUND(100*ABS('3) Aspen Impedances'!$I$52/(E94)-1),2)&amp;"%"&amp;IF(ABS('3) Aspen Impedances'!$I$52/E94-1)&gt;0.03,", Line Length Does Not Match Aspen",""))</f>
        <v/>
      </c>
      <c r="R94" s="1461"/>
      <c r="S94" s="1461"/>
      <c r="T94" s="1461"/>
      <c r="U94" s="1461"/>
      <c r="V94" s="1461"/>
      <c r="W94" s="1520"/>
    </row>
    <row r="95" spans="1:23" ht="12" hidden="1" customHeight="1">
      <c r="A95" s="1595"/>
      <c r="B95" s="1596"/>
      <c r="C95" s="1596"/>
      <c r="D95" s="1597"/>
      <c r="E95" s="1529"/>
      <c r="F95" s="1530"/>
      <c r="G95" s="1571"/>
      <c r="H95" s="1572"/>
      <c r="I95" s="1454"/>
      <c r="J95" s="1461"/>
      <c r="K95" s="1461"/>
      <c r="L95" s="1461"/>
      <c r="M95" s="1461"/>
      <c r="N95" s="1461"/>
      <c r="O95" s="1461"/>
      <c r="P95" s="1455"/>
      <c r="Q95" s="1454"/>
      <c r="R95" s="1461"/>
      <c r="S95" s="1461"/>
      <c r="T95" s="1461"/>
      <c r="U95" s="1461"/>
      <c r="V95" s="1461"/>
      <c r="W95" s="1520"/>
    </row>
    <row r="96" spans="1:23" ht="12" hidden="1" customHeight="1">
      <c r="A96" s="1430" t="s">
        <v>115</v>
      </c>
      <c r="B96" s="1431"/>
      <c r="C96" s="1431"/>
      <c r="D96" s="1431"/>
      <c r="E96" s="1529" t="str">
        <f>IF('3) Aspen Impedances'!D60&lt;&gt;"",'3) Aspen Impedances'!D60,"")</f>
        <v/>
      </c>
      <c r="F96" s="1530"/>
      <c r="G96" s="1454"/>
      <c r="H96" s="1455"/>
      <c r="I96" s="1456"/>
      <c r="J96" s="1456"/>
      <c r="K96" s="1456"/>
      <c r="L96" s="1456"/>
      <c r="M96" s="1456"/>
      <c r="N96" s="1456"/>
      <c r="O96" s="1456"/>
      <c r="P96" s="1456"/>
      <c r="Q96" s="1454" t="str">
        <f>IF(E96="","",IF('5) Infeed'!R20=0,"Must Complete Infeed Calculation",""))</f>
        <v/>
      </c>
      <c r="R96" s="1461"/>
      <c r="S96" s="1461"/>
      <c r="T96" s="1461"/>
      <c r="U96" s="1461"/>
      <c r="V96" s="1461"/>
      <c r="W96" s="1520"/>
    </row>
    <row r="97" spans="1:23" ht="12" hidden="1" customHeight="1">
      <c r="A97" s="1533" t="s">
        <v>107</v>
      </c>
      <c r="B97" s="1534"/>
      <c r="C97" s="1534"/>
      <c r="D97" s="1535"/>
      <c r="E97" s="1529" t="str">
        <f>IF('3) Aspen Impedances'!D60&lt;&gt;"",'3) Aspen Impedances'!E60*100,"")</f>
        <v/>
      </c>
      <c r="F97" s="1530"/>
      <c r="G97" s="1456" t="s">
        <v>100</v>
      </c>
      <c r="H97" s="1456"/>
      <c r="I97" s="1454"/>
      <c r="J97" s="1461"/>
      <c r="K97" s="1461"/>
      <c r="L97" s="1461"/>
      <c r="M97" s="1461"/>
      <c r="N97" s="1461"/>
      <c r="O97" s="1461"/>
      <c r="P97" s="1455"/>
      <c r="Q97" s="1454" t="str">
        <f>IF(E97="","","Error = "&amp;ROUND(100*ABS('3) Aspen Impedances'!$E$60/(E97/100)-1),2)&amp;"%"&amp;IF(ABS('3) Aspen Impedances'!$E$60/(E97/100)-1)&gt;0.03,", Impedance Does Not Match Aspen",""))</f>
        <v/>
      </c>
      <c r="R97" s="1461"/>
      <c r="S97" s="1461"/>
      <c r="T97" s="1461"/>
      <c r="U97" s="1461"/>
      <c r="V97" s="1461"/>
      <c r="W97" s="1520"/>
    </row>
    <row r="98" spans="1:23" ht="12" hidden="1" customHeight="1">
      <c r="A98" s="1435" t="s">
        <v>108</v>
      </c>
      <c r="B98" s="1600"/>
      <c r="C98" s="1600"/>
      <c r="D98" s="1601"/>
      <c r="E98" s="1529" t="str">
        <f>IF('3) Aspen Impedances'!D60&lt;&gt;"",'3) Aspen Impedances'!F60*100,"")</f>
        <v/>
      </c>
      <c r="F98" s="1530"/>
      <c r="G98" s="1456" t="s">
        <v>100</v>
      </c>
      <c r="H98" s="1456"/>
      <c r="I98" s="1454"/>
      <c r="J98" s="1461"/>
      <c r="K98" s="1461"/>
      <c r="L98" s="1461"/>
      <c r="M98" s="1461"/>
      <c r="N98" s="1461"/>
      <c r="O98" s="1461"/>
      <c r="P98" s="1455"/>
      <c r="Q98" s="1454" t="str">
        <f>IF(E98="","","Error = "&amp;ROUND(100*ABS('3) Aspen Impedances'!$F$60/(E98/100)-1),2)&amp;"%"&amp;IF(ABS('3) Aspen Impedances'!$F$60/(E98/100)-1)&gt;0.03,", Impedance Does Not Match Aspen",""))</f>
        <v/>
      </c>
      <c r="R98" s="1461"/>
      <c r="S98" s="1461"/>
      <c r="T98" s="1461"/>
      <c r="U98" s="1461"/>
      <c r="V98" s="1461"/>
      <c r="W98" s="1520"/>
    </row>
    <row r="99" spans="1:23" ht="12" hidden="1" customHeight="1">
      <c r="A99" s="1435" t="s">
        <v>109</v>
      </c>
      <c r="B99" s="1436"/>
      <c r="C99" s="1436"/>
      <c r="D99" s="1437"/>
      <c r="E99" s="1529" t="str">
        <f>IF('3) Aspen Impedances'!D60&lt;&gt;"",'3) Aspen Impedances'!G60*100,"")</f>
        <v/>
      </c>
      <c r="F99" s="1530"/>
      <c r="G99" s="1456" t="s">
        <v>100</v>
      </c>
      <c r="H99" s="1456"/>
      <c r="I99" s="1454"/>
      <c r="J99" s="1461"/>
      <c r="K99" s="1461"/>
      <c r="L99" s="1461"/>
      <c r="M99" s="1461"/>
      <c r="N99" s="1461"/>
      <c r="O99" s="1461"/>
      <c r="P99" s="1455"/>
      <c r="Q99" s="1454" t="str">
        <f>IF(E99="","","Error = "&amp;ROUND(100*ABS('3) Aspen Impedances'!$G$60/(E99/100)-1),2)&amp;"%"&amp;IF(ABS('3) Aspen Impedances'!$G$60/(E99/100)-1)&gt;0.03,", Impedance Does Not Match Aspen",""))</f>
        <v/>
      </c>
      <c r="R99" s="1461"/>
      <c r="S99" s="1461"/>
      <c r="T99" s="1461"/>
      <c r="U99" s="1461"/>
      <c r="V99" s="1461"/>
      <c r="W99" s="1520"/>
    </row>
    <row r="100" spans="1:23" ht="12" hidden="1" customHeight="1">
      <c r="A100" s="1435" t="s">
        <v>110</v>
      </c>
      <c r="B100" s="1436"/>
      <c r="C100" s="1436"/>
      <c r="D100" s="1437"/>
      <c r="E100" s="1529" t="str">
        <f>IF('3) Aspen Impedances'!D60&lt;&gt;"",'3) Aspen Impedances'!H60*100,"")</f>
        <v/>
      </c>
      <c r="F100" s="1530"/>
      <c r="G100" s="1456" t="s">
        <v>100</v>
      </c>
      <c r="H100" s="1456"/>
      <c r="I100" s="1454"/>
      <c r="J100" s="1461"/>
      <c r="K100" s="1461"/>
      <c r="L100" s="1461"/>
      <c r="M100" s="1461"/>
      <c r="N100" s="1461"/>
      <c r="O100" s="1461"/>
      <c r="P100" s="1455"/>
      <c r="Q100" s="1454" t="str">
        <f>IF(E100="","","Error = "&amp;ROUND(100*ABS('3) Aspen Impedances'!$H$60/(E100/100)-1),2)&amp;"%"&amp;IF(ABS('3) Aspen Impedances'!$H$60/(E100/100)-1)&gt;0.03,", Impedance Does Not Match Aspen",""))</f>
        <v/>
      </c>
      <c r="R100" s="1461"/>
      <c r="S100" s="1461"/>
      <c r="T100" s="1461"/>
      <c r="U100" s="1461"/>
      <c r="V100" s="1461"/>
      <c r="W100" s="1520"/>
    </row>
    <row r="101" spans="1:23" ht="12" hidden="1" customHeight="1">
      <c r="A101" s="1536" t="s">
        <v>104</v>
      </c>
      <c r="B101" s="1434"/>
      <c r="C101" s="1434"/>
      <c r="D101" s="1542"/>
      <c r="E101" s="1543" t="str">
        <f>IF('3) Aspen Impedances'!D60&lt;&gt;"",'3) Aspen Impedances'!I60,"")</f>
        <v/>
      </c>
      <c r="F101" s="1544"/>
      <c r="G101" s="1454" t="s">
        <v>105</v>
      </c>
      <c r="H101" s="1455"/>
      <c r="I101" s="1454"/>
      <c r="J101" s="1461"/>
      <c r="K101" s="1461"/>
      <c r="L101" s="1461"/>
      <c r="M101" s="1461"/>
      <c r="N101" s="1461"/>
      <c r="O101" s="1461"/>
      <c r="P101" s="1455"/>
      <c r="Q101" s="1454" t="str">
        <f>IF(E101="","","Error = "&amp;ROUND(100*ABS('3) Aspen Impedances'!$I$60/(E101)-1),2)&amp;"%"&amp;IF(ABS('3) Aspen Impedances'!$I$60/E101-1)&gt;0.03,", Line Length Does Not Match Aspen",""))</f>
        <v/>
      </c>
      <c r="R101" s="1461"/>
      <c r="S101" s="1461"/>
      <c r="T101" s="1461"/>
      <c r="U101" s="1461"/>
      <c r="V101" s="1461"/>
      <c r="W101" s="1520"/>
    </row>
    <row r="102" spans="1:23" ht="12" hidden="1" customHeight="1">
      <c r="A102" s="1595"/>
      <c r="B102" s="1596"/>
      <c r="C102" s="1596"/>
      <c r="D102" s="1597"/>
      <c r="E102" s="1529"/>
      <c r="F102" s="1530"/>
      <c r="G102" s="1571"/>
      <c r="H102" s="1572"/>
      <c r="I102" s="1454"/>
      <c r="J102" s="1461"/>
      <c r="K102" s="1461"/>
      <c r="L102" s="1461"/>
      <c r="M102" s="1461"/>
      <c r="N102" s="1461"/>
      <c r="O102" s="1461"/>
      <c r="P102" s="1455"/>
      <c r="Q102" s="1454"/>
      <c r="R102" s="1461"/>
      <c r="S102" s="1461"/>
      <c r="T102" s="1461"/>
      <c r="U102" s="1461"/>
      <c r="V102" s="1461"/>
      <c r="W102" s="1520"/>
    </row>
    <row r="103" spans="1:23" ht="12" hidden="1" customHeight="1">
      <c r="A103" s="1430" t="s">
        <v>116</v>
      </c>
      <c r="B103" s="1431"/>
      <c r="C103" s="1431"/>
      <c r="D103" s="1431"/>
      <c r="E103" s="1529" t="str">
        <f>IF('3) Aspen Impedances'!D68&lt;&gt;"",'3) Aspen Impedances'!D68,"")</f>
        <v/>
      </c>
      <c r="F103" s="1530"/>
      <c r="G103" s="1454"/>
      <c r="H103" s="1455"/>
      <c r="I103" s="1456"/>
      <c r="J103" s="1456"/>
      <c r="K103" s="1456"/>
      <c r="L103" s="1456"/>
      <c r="M103" s="1456"/>
      <c r="N103" s="1456"/>
      <c r="O103" s="1456"/>
      <c r="P103" s="1456"/>
      <c r="Q103" s="1454" t="str">
        <f>IF(E103="","",IF('5) Infeed'!R21=0,"Must Complete Infeed Calculation",""))</f>
        <v/>
      </c>
      <c r="R103" s="1461"/>
      <c r="S103" s="1461"/>
      <c r="T103" s="1461"/>
      <c r="U103" s="1461"/>
      <c r="V103" s="1461"/>
      <c r="W103" s="1520"/>
    </row>
    <row r="104" spans="1:23" ht="12" hidden="1" customHeight="1">
      <c r="A104" s="1533" t="s">
        <v>107</v>
      </c>
      <c r="B104" s="1534"/>
      <c r="C104" s="1534"/>
      <c r="D104" s="1535"/>
      <c r="E104" s="1529" t="str">
        <f>IF('3) Aspen Impedances'!D68&lt;&gt;"",'3) Aspen Impedances'!E68*100,"")</f>
        <v/>
      </c>
      <c r="F104" s="1530"/>
      <c r="G104" s="1456" t="s">
        <v>100</v>
      </c>
      <c r="H104" s="1456"/>
      <c r="I104" s="1454"/>
      <c r="J104" s="1461"/>
      <c r="K104" s="1461"/>
      <c r="L104" s="1461"/>
      <c r="M104" s="1461"/>
      <c r="N104" s="1461"/>
      <c r="O104" s="1461"/>
      <c r="P104" s="1455"/>
      <c r="Q104" s="1454" t="str">
        <f>IF(E104="","","Error = "&amp;ROUND(100*ABS('3) Aspen Impedances'!$E$68/(E104/100)-1),2)&amp;"%"&amp;IF(ABS('3) Aspen Impedances'!$E$68/(E104/100)-1)&gt;0.03,", Impedance Does Not Match Aspen",""))</f>
        <v/>
      </c>
      <c r="R104" s="1461"/>
      <c r="S104" s="1461"/>
      <c r="T104" s="1461"/>
      <c r="U104" s="1461"/>
      <c r="V104" s="1461"/>
      <c r="W104" s="1520"/>
    </row>
    <row r="105" spans="1:23" ht="12" hidden="1" customHeight="1">
      <c r="A105" s="1435" t="s">
        <v>108</v>
      </c>
      <c r="B105" s="1600"/>
      <c r="C105" s="1600"/>
      <c r="D105" s="1601"/>
      <c r="E105" s="1529" t="str">
        <f>IF('3) Aspen Impedances'!D68&lt;&gt;"",'3) Aspen Impedances'!F68*100,"")</f>
        <v/>
      </c>
      <c r="F105" s="1530"/>
      <c r="G105" s="1456" t="s">
        <v>100</v>
      </c>
      <c r="H105" s="1456"/>
      <c r="I105" s="1454"/>
      <c r="J105" s="1461"/>
      <c r="K105" s="1461"/>
      <c r="L105" s="1461"/>
      <c r="M105" s="1461"/>
      <c r="N105" s="1461"/>
      <c r="O105" s="1461"/>
      <c r="P105" s="1455"/>
      <c r="Q105" s="1454" t="str">
        <f>IF(E105="","","Error = "&amp;ROUND(100*ABS('3) Aspen Impedances'!$F$68/(E105/100)-1),2)&amp;"%"&amp;IF(ABS('3) Aspen Impedances'!$F$68/(E105/100)-1)&gt;0.03,", Impedance Does Not Match Aspen",""))</f>
        <v/>
      </c>
      <c r="R105" s="1461"/>
      <c r="S105" s="1461"/>
      <c r="T105" s="1461"/>
      <c r="U105" s="1461"/>
      <c r="V105" s="1461"/>
      <c r="W105" s="1520"/>
    </row>
    <row r="106" spans="1:23" ht="12" hidden="1" customHeight="1">
      <c r="A106" s="1435" t="s">
        <v>109</v>
      </c>
      <c r="B106" s="1436"/>
      <c r="C106" s="1436"/>
      <c r="D106" s="1437"/>
      <c r="E106" s="1529" t="str">
        <f>IF('3) Aspen Impedances'!D68&lt;&gt;"",'3) Aspen Impedances'!G68*100,"")</f>
        <v/>
      </c>
      <c r="F106" s="1530"/>
      <c r="G106" s="1456" t="s">
        <v>100</v>
      </c>
      <c r="H106" s="1456"/>
      <c r="I106" s="1454"/>
      <c r="J106" s="1461"/>
      <c r="K106" s="1461"/>
      <c r="L106" s="1461"/>
      <c r="M106" s="1461"/>
      <c r="N106" s="1461"/>
      <c r="O106" s="1461"/>
      <c r="P106" s="1455"/>
      <c r="Q106" s="1454" t="str">
        <f>IF(E106="","","Error = "&amp;ROUND(100*ABS('3) Aspen Impedances'!$G$68/(E106/100)-1),2)&amp;"%"&amp;IF(ABS('3) Aspen Impedances'!$G$68/(E106/100)-1)&gt;0.03,", Impedance Does Not Match Aspen",""))</f>
        <v/>
      </c>
      <c r="R106" s="1461"/>
      <c r="S106" s="1461"/>
      <c r="T106" s="1461"/>
      <c r="U106" s="1461"/>
      <c r="V106" s="1461"/>
      <c r="W106" s="1520"/>
    </row>
    <row r="107" spans="1:23" ht="12" hidden="1" customHeight="1">
      <c r="A107" s="1435" t="s">
        <v>110</v>
      </c>
      <c r="B107" s="1436"/>
      <c r="C107" s="1436"/>
      <c r="D107" s="1437"/>
      <c r="E107" s="1529" t="str">
        <f>IF('3) Aspen Impedances'!D68&lt;&gt;"",'3) Aspen Impedances'!H68*100,"")</f>
        <v/>
      </c>
      <c r="F107" s="1530"/>
      <c r="G107" s="1456" t="s">
        <v>100</v>
      </c>
      <c r="H107" s="1456"/>
      <c r="I107" s="1454"/>
      <c r="J107" s="1461"/>
      <c r="K107" s="1461"/>
      <c r="L107" s="1461"/>
      <c r="M107" s="1461"/>
      <c r="N107" s="1461"/>
      <c r="O107" s="1461"/>
      <c r="P107" s="1455"/>
      <c r="Q107" s="1454" t="str">
        <f>IF(E107="","","Error = "&amp;ROUND(100*ABS('3) Aspen Impedances'!$H$68/(E107/100)-1),2)&amp;"%"&amp;IF(ABS('3) Aspen Impedances'!$H$68/(E107/100)-1)&gt;0.03,", Impedance Does Not Match Aspen",""))</f>
        <v/>
      </c>
      <c r="R107" s="1461"/>
      <c r="S107" s="1461"/>
      <c r="T107" s="1461"/>
      <c r="U107" s="1461"/>
      <c r="V107" s="1461"/>
      <c r="W107" s="1520"/>
    </row>
    <row r="108" spans="1:23" ht="12" hidden="1" customHeight="1">
      <c r="A108" s="1536" t="s">
        <v>104</v>
      </c>
      <c r="B108" s="1434"/>
      <c r="C108" s="1434"/>
      <c r="D108" s="1542"/>
      <c r="E108" s="1543" t="str">
        <f>IF('3) Aspen Impedances'!D68&lt;&gt;"",'3) Aspen Impedances'!I68,"")</f>
        <v/>
      </c>
      <c r="F108" s="1544"/>
      <c r="G108" s="1454" t="s">
        <v>105</v>
      </c>
      <c r="H108" s="1455"/>
      <c r="I108" s="1454"/>
      <c r="J108" s="1461"/>
      <c r="K108" s="1461"/>
      <c r="L108" s="1461"/>
      <c r="M108" s="1461"/>
      <c r="N108" s="1461"/>
      <c r="O108" s="1461"/>
      <c r="P108" s="1455"/>
      <c r="Q108" s="1454" t="str">
        <f>IF(E108="","","Error = "&amp;ROUND(100*ABS('3) Aspen Impedances'!$I$68/(E108)-1),2)&amp;"%"&amp;IF(ABS('3) Aspen Impedances'!$I$68/E108-1)&gt;0.03,", Line Length Does Not Match Aspen",""))</f>
        <v/>
      </c>
      <c r="R108" s="1461"/>
      <c r="S108" s="1461"/>
      <c r="T108" s="1461"/>
      <c r="U108" s="1461"/>
      <c r="V108" s="1461"/>
      <c r="W108" s="1520"/>
    </row>
    <row r="109" spans="1:23" ht="12" hidden="1" customHeight="1">
      <c r="A109" s="1595"/>
      <c r="B109" s="1596"/>
      <c r="C109" s="1596"/>
      <c r="D109" s="1597"/>
      <c r="E109" s="1529"/>
      <c r="F109" s="1530"/>
      <c r="G109" s="1571"/>
      <c r="H109" s="1572"/>
      <c r="I109" s="1454"/>
      <c r="J109" s="1461"/>
      <c r="K109" s="1461"/>
      <c r="L109" s="1461"/>
      <c r="M109" s="1461"/>
      <c r="N109" s="1461"/>
      <c r="O109" s="1461"/>
      <c r="P109" s="1455"/>
      <c r="Q109" s="1454"/>
      <c r="R109" s="1461"/>
      <c r="S109" s="1461"/>
      <c r="T109" s="1461"/>
      <c r="U109" s="1461"/>
      <c r="V109" s="1461"/>
      <c r="W109" s="1520"/>
    </row>
    <row r="110" spans="1:23" ht="12" hidden="1" customHeight="1">
      <c r="A110" s="1430" t="s">
        <v>117</v>
      </c>
      <c r="B110" s="1431"/>
      <c r="C110" s="1431"/>
      <c r="D110" s="1431"/>
      <c r="E110" s="1529" t="str">
        <f>IF('3) Aspen Impedances'!D76&lt;&gt;"",'3) Aspen Impedances'!D76,"")</f>
        <v/>
      </c>
      <c r="F110" s="1530"/>
      <c r="G110" s="1454"/>
      <c r="H110" s="1455"/>
      <c r="I110" s="1456"/>
      <c r="J110" s="1456"/>
      <c r="K110" s="1456"/>
      <c r="L110" s="1456"/>
      <c r="M110" s="1456"/>
      <c r="N110" s="1456"/>
      <c r="O110" s="1456"/>
      <c r="P110" s="1456"/>
      <c r="Q110" s="1454" t="str">
        <f>IF(E110="","",IF('5) Infeed'!R22=0,"Must Complete Infeed Calculation",""))</f>
        <v/>
      </c>
      <c r="R110" s="1461"/>
      <c r="S110" s="1461"/>
      <c r="T110" s="1461"/>
      <c r="U110" s="1461"/>
      <c r="V110" s="1461"/>
      <c r="W110" s="1520"/>
    </row>
    <row r="111" spans="1:23" ht="12" hidden="1" customHeight="1">
      <c r="A111" s="1533" t="s">
        <v>107</v>
      </c>
      <c r="B111" s="1534"/>
      <c r="C111" s="1534"/>
      <c r="D111" s="1535"/>
      <c r="E111" s="1529" t="str">
        <f>IF('3) Aspen Impedances'!D76&lt;&gt;"",'3) Aspen Impedances'!E76*100,"")</f>
        <v/>
      </c>
      <c r="F111" s="1530"/>
      <c r="G111" s="1456" t="s">
        <v>100</v>
      </c>
      <c r="H111" s="1456"/>
      <c r="I111" s="1454"/>
      <c r="J111" s="1461"/>
      <c r="K111" s="1461"/>
      <c r="L111" s="1461"/>
      <c r="M111" s="1461"/>
      <c r="N111" s="1461"/>
      <c r="O111" s="1461"/>
      <c r="P111" s="1455"/>
      <c r="Q111" s="1454" t="str">
        <f>IF(E111="","","Error = "&amp;ROUND(100*ABS('3) Aspen Impedances'!$E$76/(E111/100)-1),2)&amp;"%"&amp;IF(ABS('3) Aspen Impedances'!$E$76/(E111/100)-1)&gt;0.03,", Impedance Does Not Match Aspen",""))</f>
        <v/>
      </c>
      <c r="R111" s="1461"/>
      <c r="S111" s="1461"/>
      <c r="T111" s="1461"/>
      <c r="U111" s="1461"/>
      <c r="V111" s="1461"/>
      <c r="W111" s="1520"/>
    </row>
    <row r="112" spans="1:23" ht="12" hidden="1" customHeight="1">
      <c r="A112" s="1435" t="s">
        <v>108</v>
      </c>
      <c r="B112" s="1600"/>
      <c r="C112" s="1600"/>
      <c r="D112" s="1601"/>
      <c r="E112" s="1529" t="str">
        <f>IF('3) Aspen Impedances'!D76&lt;&gt;"",'3) Aspen Impedances'!F76*100,"")</f>
        <v/>
      </c>
      <c r="F112" s="1530"/>
      <c r="G112" s="1456" t="s">
        <v>100</v>
      </c>
      <c r="H112" s="1456"/>
      <c r="I112" s="1454"/>
      <c r="J112" s="1461"/>
      <c r="K112" s="1461"/>
      <c r="L112" s="1461"/>
      <c r="M112" s="1461"/>
      <c r="N112" s="1461"/>
      <c r="O112" s="1461"/>
      <c r="P112" s="1455"/>
      <c r="Q112" s="1454" t="str">
        <f>IF(E112="","","Error = "&amp;ROUND(100*ABS('3) Aspen Impedances'!$F$76/(E112/100)-1),2)&amp;"%"&amp;IF(ABS('3) Aspen Impedances'!$F$76/(E112/100)-1)&gt;0.03,", Impedance Does Not Match Aspen",""))</f>
        <v/>
      </c>
      <c r="R112" s="1461"/>
      <c r="S112" s="1461"/>
      <c r="T112" s="1461"/>
      <c r="U112" s="1461"/>
      <c r="V112" s="1461"/>
      <c r="W112" s="1520"/>
    </row>
    <row r="113" spans="1:34" ht="12" hidden="1" customHeight="1">
      <c r="A113" s="1435" t="s">
        <v>109</v>
      </c>
      <c r="B113" s="1436"/>
      <c r="C113" s="1436"/>
      <c r="D113" s="1437"/>
      <c r="E113" s="1529" t="str">
        <f>IF('3) Aspen Impedances'!D76&lt;&gt;"",'3) Aspen Impedances'!G76*100,"")</f>
        <v/>
      </c>
      <c r="F113" s="1530"/>
      <c r="G113" s="1456" t="s">
        <v>100</v>
      </c>
      <c r="H113" s="1456"/>
      <c r="I113" s="1454"/>
      <c r="J113" s="1461"/>
      <c r="K113" s="1461"/>
      <c r="L113" s="1461"/>
      <c r="M113" s="1461"/>
      <c r="N113" s="1461"/>
      <c r="O113" s="1461"/>
      <c r="P113" s="1455"/>
      <c r="Q113" s="1454" t="str">
        <f>IF(E113="","","Error = "&amp;ROUND(100*ABS('3) Aspen Impedances'!$G$76/(E113/100)-1),2)&amp;"%"&amp;IF(ABS('3) Aspen Impedances'!$G$76/(E113/100)-1)&gt;0.03,", Impedance Does Not Match Aspen",""))</f>
        <v/>
      </c>
      <c r="R113" s="1461"/>
      <c r="S113" s="1461"/>
      <c r="T113" s="1461"/>
      <c r="U113" s="1461"/>
      <c r="V113" s="1461"/>
      <c r="W113" s="1520"/>
    </row>
    <row r="114" spans="1:34" ht="12" hidden="1" customHeight="1">
      <c r="A114" s="1435" t="s">
        <v>110</v>
      </c>
      <c r="B114" s="1436"/>
      <c r="C114" s="1436"/>
      <c r="D114" s="1437"/>
      <c r="E114" s="1529" t="str">
        <f>IF('3) Aspen Impedances'!D76&lt;&gt;"",'3) Aspen Impedances'!H76*100,"")</f>
        <v/>
      </c>
      <c r="F114" s="1530"/>
      <c r="G114" s="1456" t="s">
        <v>100</v>
      </c>
      <c r="H114" s="1456"/>
      <c r="I114" s="1454"/>
      <c r="J114" s="1461"/>
      <c r="K114" s="1461"/>
      <c r="L114" s="1461"/>
      <c r="M114" s="1461"/>
      <c r="N114" s="1461"/>
      <c r="O114" s="1461"/>
      <c r="P114" s="1455"/>
      <c r="Q114" s="1454" t="str">
        <f>IF(E114="","","Error = "&amp;ROUND(100*ABS('3) Aspen Impedances'!$H$76/(E114/100)-1),2)&amp;"%"&amp;IF(ABS('3) Aspen Impedances'!$H$76/(E114/100)-1)&gt;0.03,", Impedance Does Not Match Aspen",""))</f>
        <v/>
      </c>
      <c r="R114" s="1461"/>
      <c r="S114" s="1461"/>
      <c r="T114" s="1461"/>
      <c r="U114" s="1461"/>
      <c r="V114" s="1461"/>
      <c r="W114" s="1520"/>
    </row>
    <row r="115" spans="1:34" ht="12" hidden="1" customHeight="1" thickBot="1">
      <c r="A115" s="1540" t="s">
        <v>104</v>
      </c>
      <c r="B115" s="1495"/>
      <c r="C115" s="1495"/>
      <c r="D115" s="1690"/>
      <c r="E115" s="1531" t="str">
        <f>IF('3) Aspen Impedances'!D76&lt;&gt;"",'3) Aspen Impedances'!I76,"")</f>
        <v/>
      </c>
      <c r="F115" s="1532"/>
      <c r="G115" s="1477" t="s">
        <v>105</v>
      </c>
      <c r="H115" s="1478"/>
      <c r="I115" s="1477"/>
      <c r="J115" s="1517"/>
      <c r="K115" s="1517"/>
      <c r="L115" s="1517"/>
      <c r="M115" s="1517"/>
      <c r="N115" s="1517"/>
      <c r="O115" s="1517"/>
      <c r="P115" s="1478"/>
      <c r="Q115" s="1477" t="str">
        <f>IF(E115="","","Error = "&amp;ROUND(100*ABS('3) Aspen Impedances'!$I$76/(E115)-1),2)&amp;"%"&amp;IF(ABS('3) Aspen Impedances'!$I$76/E115-1)&gt;0.03,", Line Length Does Not Match Aspen",""))</f>
        <v/>
      </c>
      <c r="R115" s="1517"/>
      <c r="S115" s="1517"/>
      <c r="T115" s="1517"/>
      <c r="U115" s="1517"/>
      <c r="V115" s="1517"/>
      <c r="W115" s="1518"/>
    </row>
    <row r="116" spans="1:34" ht="12" customHeight="1">
      <c r="B116"/>
      <c r="C116"/>
      <c r="D116"/>
      <c r="E116"/>
      <c r="F116"/>
      <c r="G116"/>
      <c r="H116"/>
      <c r="J116"/>
      <c r="K116"/>
    </row>
    <row r="117" spans="1:34" ht="12" customHeight="1" thickBot="1">
      <c r="B117"/>
      <c r="C117"/>
      <c r="D117"/>
      <c r="E117"/>
      <c r="F117"/>
      <c r="G117"/>
      <c r="H117"/>
      <c r="J117"/>
      <c r="K117"/>
    </row>
    <row r="118" spans="1:34" ht="18" hidden="1" thickBot="1">
      <c r="A118" s="1524" t="s">
        <v>118</v>
      </c>
      <c r="B118" s="1525"/>
      <c r="C118" s="1525"/>
      <c r="D118" s="1525"/>
      <c r="E118" s="1525"/>
      <c r="F118" s="1525"/>
      <c r="G118" s="1525"/>
      <c r="H118" s="1525"/>
      <c r="I118" s="1525"/>
      <c r="J118" s="1525"/>
      <c r="K118" s="1525"/>
      <c r="L118" s="1525"/>
      <c r="M118" s="1525"/>
      <c r="N118" s="1525"/>
      <c r="O118" s="1525"/>
      <c r="P118" s="1525"/>
      <c r="Q118" s="1525"/>
      <c r="R118" s="1525"/>
      <c r="S118" s="1525"/>
      <c r="T118" s="1525"/>
      <c r="U118" s="1525"/>
      <c r="V118" s="1525"/>
      <c r="W118" s="1526"/>
    </row>
    <row r="119" spans="1:34" ht="15.6" hidden="1" thickBot="1">
      <c r="A119" s="1537" t="s">
        <v>26</v>
      </c>
      <c r="B119" s="1538"/>
      <c r="C119" s="1538"/>
      <c r="D119" s="1538"/>
      <c r="E119" s="1537" t="s">
        <v>27</v>
      </c>
      <c r="F119" s="1538"/>
      <c r="G119" s="1538"/>
      <c r="H119" s="1538"/>
      <c r="I119" s="1537" t="s">
        <v>28</v>
      </c>
      <c r="J119" s="1538"/>
      <c r="K119" s="1538"/>
      <c r="L119" s="1538"/>
      <c r="M119" s="1538"/>
      <c r="N119" s="1538"/>
      <c r="O119" s="1538"/>
      <c r="P119" s="1539"/>
      <c r="Q119" s="1537" t="s">
        <v>29</v>
      </c>
      <c r="R119" s="1538"/>
      <c r="S119" s="1538"/>
      <c r="T119" s="1538"/>
      <c r="U119" s="1538"/>
      <c r="V119" s="1538"/>
      <c r="W119" s="1539"/>
    </row>
    <row r="120" spans="1:34" ht="13.2" hidden="1">
      <c r="A120" s="1691" t="s">
        <v>119</v>
      </c>
      <c r="B120" s="1692"/>
      <c r="C120" s="1692"/>
      <c r="D120" s="1693"/>
      <c r="E120" s="1529" t="str">
        <f>IF('3) Aspen Impedances'!C86&lt;&gt;"",'3) Aspen Impedances'!C86,"")</f>
        <v/>
      </c>
      <c r="F120" s="1530"/>
      <c r="G120" s="1502"/>
      <c r="H120" s="1509"/>
      <c r="I120" s="1502" t="s">
        <v>120</v>
      </c>
      <c r="J120" s="1503"/>
      <c r="K120" s="1503"/>
      <c r="L120" s="1503"/>
      <c r="M120" s="1503"/>
      <c r="N120" s="1503"/>
      <c r="O120" s="1503"/>
      <c r="P120" s="1509"/>
      <c r="Q120" s="1502" t="str">
        <f>IF(E120="Sub15 (tap)","",IF(E120="","",IF('5) Infeed'!R42=0,IF(E121="","","Must Complete Infeed Calculation"),"")&amp;IF('5) Infeed'!R42=7.496,"Infeed has not changed from default setting","")))</f>
        <v/>
      </c>
      <c r="R120" s="1503"/>
      <c r="S120" s="1503"/>
      <c r="T120" s="1503"/>
      <c r="U120" s="1503"/>
      <c r="V120" s="1503"/>
      <c r="W120" s="1504"/>
    </row>
    <row r="121" spans="1:34" ht="13.2" hidden="1">
      <c r="A121" s="1435" t="s">
        <v>121</v>
      </c>
      <c r="B121" s="1436"/>
      <c r="C121" s="1436"/>
      <c r="D121" s="1437"/>
      <c r="E121" s="1529" t="str">
        <f>IF('3) Aspen Impedances'!C86&lt;&gt;"",'3) Aspen Impedances'!D86,"")</f>
        <v/>
      </c>
      <c r="F121" s="1530"/>
      <c r="G121" s="1345"/>
      <c r="H121" s="1346"/>
      <c r="I121" s="1454" t="s">
        <v>122</v>
      </c>
      <c r="J121" s="1461"/>
      <c r="K121" s="1461"/>
      <c r="L121" s="1461"/>
      <c r="M121" s="1461"/>
      <c r="N121" s="1461"/>
      <c r="O121" s="1461"/>
      <c r="P121" s="1455"/>
      <c r="Q121" s="1454" t="str">
        <f>IF(E120="Sub15 (tap)","",IF('3) Aspen Impedances'!E152=1.11,"impedance to "&amp;E120&amp;" matches default setting",""))&amp;IF('3) Aspen Impedances'!E152=0,"Fill out Impedance too "&amp;'1) Data Entry'!E120&amp;" on Aspen Imp. tab","")</f>
        <v>Fill out Impedance too  on Aspen Imp. tab</v>
      </c>
      <c r="R121" s="1461"/>
      <c r="S121" s="1461"/>
      <c r="T121" s="1461"/>
      <c r="U121" s="1461"/>
      <c r="V121" s="1461"/>
      <c r="W121" s="1520"/>
    </row>
    <row r="122" spans="1:34" ht="13.2" hidden="1">
      <c r="A122" s="1533" t="s">
        <v>123</v>
      </c>
      <c r="B122" s="1534"/>
      <c r="C122" s="1534"/>
      <c r="D122" s="1535"/>
      <c r="E122" s="1529" t="str">
        <f>IF('3) Aspen Impedances'!C86&lt;&gt;"",'3) Aspen Impedances'!E86*100,"")</f>
        <v/>
      </c>
      <c r="F122" s="1530"/>
      <c r="G122" s="1456" t="s">
        <v>100</v>
      </c>
      <c r="H122" s="1456"/>
      <c r="I122" s="1454"/>
      <c r="J122" s="1461"/>
      <c r="K122" s="1461"/>
      <c r="L122" s="1461"/>
      <c r="M122" s="1461"/>
      <c r="N122" s="1461"/>
      <c r="O122" s="1461"/>
      <c r="P122" s="1455"/>
      <c r="Q122" s="1454" t="str">
        <f>IF(E122="","","Error = "&amp;ROUND(100*ABS('3) Aspen Impedances'!$E$86/(E122/100)-1),2)&amp;"%"&amp;IF(ABS('3) Aspen Impedances'!$E$86/(E122/100)-1)&gt;0.03,", Impdance Does Not Match Aspen",""))</f>
        <v/>
      </c>
      <c r="R122" s="1461"/>
      <c r="S122" s="1461"/>
      <c r="T122" s="1461"/>
      <c r="U122" s="1461"/>
      <c r="V122" s="1461"/>
      <c r="W122" s="1520"/>
    </row>
    <row r="123" spans="1:34" ht="13.2" hidden="1">
      <c r="A123" s="1435" t="s">
        <v>124</v>
      </c>
      <c r="B123" s="1436"/>
      <c r="C123" s="1436"/>
      <c r="D123" s="1437"/>
      <c r="E123" s="1529" t="str">
        <f>IF('3) Aspen Impedances'!C86&lt;&gt;"",'3) Aspen Impedances'!F86*100,"")</f>
        <v/>
      </c>
      <c r="F123" s="1530"/>
      <c r="G123" s="1456" t="s">
        <v>100</v>
      </c>
      <c r="H123" s="1456"/>
      <c r="I123" s="1454"/>
      <c r="J123" s="1461"/>
      <c r="K123" s="1461"/>
      <c r="L123" s="1461"/>
      <c r="M123" s="1461"/>
      <c r="N123" s="1461"/>
      <c r="O123" s="1461"/>
      <c r="P123" s="1455"/>
      <c r="Q123" s="1454" t="str">
        <f>IF(E123="","","Error = "&amp;ROUND(100*ABS('3) Aspen Impedances'!$F$86/(E123/100)-1),2)&amp;"%"&amp;IF(ABS('3) Aspen Impedances'!$F$86/(E123/100)-1)&gt;0.03,", Impdance Does Not Match Aspen",""))</f>
        <v/>
      </c>
      <c r="R123" s="1461"/>
      <c r="S123" s="1461"/>
      <c r="T123" s="1461"/>
      <c r="U123" s="1461"/>
      <c r="V123" s="1461"/>
      <c r="W123" s="1520"/>
    </row>
    <row r="124" spans="1:34" ht="13.2" hidden="1">
      <c r="A124" s="1435" t="s">
        <v>125</v>
      </c>
      <c r="B124" s="1436"/>
      <c r="C124" s="1436"/>
      <c r="D124" s="1437"/>
      <c r="E124" s="1529" t="str">
        <f>IF('3) Aspen Impedances'!C86&lt;&gt;"",'3) Aspen Impedances'!G86*100,"")</f>
        <v/>
      </c>
      <c r="F124" s="1530"/>
      <c r="G124" s="1456" t="s">
        <v>100</v>
      </c>
      <c r="H124" s="1456"/>
      <c r="I124" s="1454"/>
      <c r="J124" s="1461"/>
      <c r="K124" s="1461"/>
      <c r="L124" s="1461"/>
      <c r="M124" s="1461"/>
      <c r="N124" s="1461"/>
      <c r="O124" s="1461"/>
      <c r="P124" s="1455"/>
      <c r="Q124" s="1454" t="str">
        <f>IF(E124="","","Error = "&amp;ROUND(100*ABS('3) Aspen Impedances'!$G$86/(E124/100)-1),2)&amp;"%"&amp;IF(ABS('3) Aspen Impedances'!$G$86/(E124/100)-1)&gt;0.03,", Impdance Does Not Match Aspen",""))</f>
        <v/>
      </c>
      <c r="R124" s="1461"/>
      <c r="S124" s="1461"/>
      <c r="T124" s="1461"/>
      <c r="U124" s="1461"/>
      <c r="V124" s="1461"/>
      <c r="W124" s="1520"/>
    </row>
    <row r="125" spans="1:34" ht="13.2" hidden="1">
      <c r="A125" s="1435" t="s">
        <v>126</v>
      </c>
      <c r="B125" s="1436"/>
      <c r="C125" s="1436"/>
      <c r="D125" s="1437"/>
      <c r="E125" s="1529" t="str">
        <f>IF('3) Aspen Impedances'!C86&lt;&gt;"",'3) Aspen Impedances'!H86*100,"")</f>
        <v/>
      </c>
      <c r="F125" s="1530"/>
      <c r="G125" s="1456" t="s">
        <v>100</v>
      </c>
      <c r="H125" s="1456"/>
      <c r="I125" s="1454"/>
      <c r="J125" s="1461"/>
      <c r="K125" s="1461"/>
      <c r="L125" s="1461"/>
      <c r="M125" s="1461"/>
      <c r="N125" s="1461"/>
      <c r="O125" s="1461"/>
      <c r="P125" s="1455"/>
      <c r="Q125" s="1454" t="str">
        <f>IF(E125="","","Error = "&amp;ROUND(100*ABS('3) Aspen Impedances'!$H$86/(E125/100)-1),2)&amp;"%"&amp;IF(ABS('3) Aspen Impedances'!$H$86/(E125/100)-1)&gt;0.03,", Impdance Does Not Match Aspen",""))</f>
        <v/>
      </c>
      <c r="R125" s="1461"/>
      <c r="S125" s="1461"/>
      <c r="T125" s="1461"/>
      <c r="U125" s="1461"/>
      <c r="V125" s="1461"/>
      <c r="W125" s="1520"/>
      <c r="AA125" s="670"/>
      <c r="AB125" s="321"/>
      <c r="AC125" s="321"/>
      <c r="AD125" s="321"/>
      <c r="AE125" s="321"/>
      <c r="AF125" s="35"/>
      <c r="AH125" s="33"/>
    </row>
    <row r="126" spans="1:34" ht="12" hidden="1" customHeight="1">
      <c r="A126" s="1536" t="s">
        <v>104</v>
      </c>
      <c r="B126" s="1433"/>
      <c r="C126" s="1433"/>
      <c r="D126" s="1501"/>
      <c r="E126" s="1543" t="str">
        <f>IF('3) Aspen Impedances'!C86&lt;&gt;"",'3) Aspen Impedances'!I86,"")</f>
        <v/>
      </c>
      <c r="F126" s="1544"/>
      <c r="G126" s="1454" t="s">
        <v>105</v>
      </c>
      <c r="H126" s="1455"/>
      <c r="I126" s="1454"/>
      <c r="J126" s="1461"/>
      <c r="K126" s="1461"/>
      <c r="L126" s="1461"/>
      <c r="M126" s="1461"/>
      <c r="N126" s="1461"/>
      <c r="O126" s="1461"/>
      <c r="P126" s="1455"/>
      <c r="Q126" s="1454" t="str">
        <f>IF(E126="","","Error = "&amp;ROUND(100*ABS('3) Aspen Impedances'!$I$86/(E126)-1),2)&amp;"%"&amp;IF(ABS('3) Aspen Impedances'!I86/E126-1)&gt;0.03,", Line Length Does Not Match Aspen",""))</f>
        <v/>
      </c>
      <c r="R126" s="1461"/>
      <c r="S126" s="1461"/>
      <c r="T126" s="1461"/>
      <c r="U126" s="1461"/>
      <c r="V126" s="1461"/>
      <c r="W126" s="1520"/>
      <c r="AA126" s="670"/>
      <c r="AB126" s="321"/>
      <c r="AC126" s="321"/>
      <c r="AD126" s="321"/>
      <c r="AE126" s="321"/>
      <c r="AF126" s="35"/>
      <c r="AH126" s="33"/>
    </row>
    <row r="127" spans="1:34" ht="12" hidden="1" customHeight="1">
      <c r="A127" s="1435"/>
      <c r="B127" s="1436"/>
      <c r="C127" s="1436"/>
      <c r="D127" s="1437"/>
      <c r="E127" s="1694"/>
      <c r="F127" s="1695"/>
      <c r="G127" s="1470"/>
      <c r="H127" s="1471"/>
      <c r="I127" s="1505"/>
      <c r="J127" s="1459"/>
      <c r="K127" s="1459"/>
      <c r="L127" s="1459"/>
      <c r="M127" s="1459"/>
      <c r="N127" s="1459"/>
      <c r="O127" s="1459"/>
      <c r="P127" s="1460"/>
      <c r="Q127" s="1505"/>
      <c r="R127" s="1459"/>
      <c r="S127" s="1459"/>
      <c r="T127" s="1459"/>
      <c r="U127" s="1459"/>
      <c r="V127" s="1459"/>
      <c r="W127" s="1506"/>
      <c r="AA127" s="670"/>
      <c r="AB127" s="321"/>
      <c r="AC127" s="321"/>
      <c r="AD127" s="321"/>
      <c r="AE127" s="321"/>
      <c r="AF127" s="35"/>
      <c r="AH127" s="33"/>
    </row>
    <row r="128" spans="1:34" ht="12" hidden="1" customHeight="1">
      <c r="A128" s="1435" t="s">
        <v>127</v>
      </c>
      <c r="B128" s="1436"/>
      <c r="C128" s="1436"/>
      <c r="D128" s="1437"/>
      <c r="E128" s="1529" t="str">
        <f>IF('3) Aspen Impedances'!C94&lt;&gt;"",'3) Aspen Impedances'!C94,"")</f>
        <v/>
      </c>
      <c r="F128" s="1530"/>
      <c r="G128" s="1454"/>
      <c r="H128" s="1455"/>
      <c r="I128" s="1454"/>
      <c r="J128" s="1461"/>
      <c r="K128" s="1461"/>
      <c r="L128" s="1461"/>
      <c r="M128" s="1461"/>
      <c r="N128" s="1461"/>
      <c r="O128" s="1461"/>
      <c r="P128" s="1455"/>
      <c r="Q128" s="1454" t="str">
        <f>IF(E129="","",IF('5) Infeed'!R43=0,"Must Complete Infeed Calculation",""))</f>
        <v/>
      </c>
      <c r="R128" s="1461"/>
      <c r="S128" s="1461"/>
      <c r="T128" s="1461"/>
      <c r="U128" s="1461"/>
      <c r="V128" s="1461"/>
      <c r="W128" s="1520"/>
    </row>
    <row r="129" spans="1:23" ht="12" hidden="1" customHeight="1">
      <c r="A129" s="1435" t="s">
        <v>121</v>
      </c>
      <c r="B129" s="1436"/>
      <c r="C129" s="1436"/>
      <c r="D129" s="1437"/>
      <c r="E129" s="1529" t="str">
        <f>IF('3) Aspen Impedances'!C94&lt;&gt;"",'3) Aspen Impedances'!D94,"")</f>
        <v/>
      </c>
      <c r="F129" s="1530"/>
      <c r="G129" s="1345"/>
      <c r="H129" s="1346"/>
      <c r="I129" s="1454"/>
      <c r="J129" s="1461"/>
      <c r="K129" s="1461"/>
      <c r="L129" s="1461"/>
      <c r="M129" s="1461"/>
      <c r="N129" s="1461"/>
      <c r="O129" s="1461"/>
      <c r="P129" s="1455"/>
      <c r="Q129" s="1454" t="str">
        <f>IF(E128="","","Fill out impedance to "&amp;E128&amp;" on Aspen Imp. tab")</f>
        <v/>
      </c>
      <c r="R129" s="1461"/>
      <c r="S129" s="1461"/>
      <c r="T129" s="1461"/>
      <c r="U129" s="1461"/>
      <c r="V129" s="1461"/>
      <c r="W129" s="1520"/>
    </row>
    <row r="130" spans="1:23" ht="12" hidden="1" customHeight="1">
      <c r="A130" s="1533" t="s">
        <v>123</v>
      </c>
      <c r="B130" s="1534"/>
      <c r="C130" s="1534"/>
      <c r="D130" s="1535"/>
      <c r="E130" s="1529" t="str">
        <f>IF('3) Aspen Impedances'!C94&lt;&gt;"",'3) Aspen Impedances'!E94*100,"")</f>
        <v/>
      </c>
      <c r="F130" s="1530"/>
      <c r="G130" s="1456" t="s">
        <v>100</v>
      </c>
      <c r="H130" s="1456"/>
      <c r="I130" s="1454"/>
      <c r="J130" s="1461"/>
      <c r="K130" s="1461"/>
      <c r="L130" s="1461"/>
      <c r="M130" s="1461"/>
      <c r="N130" s="1461"/>
      <c r="O130" s="1461"/>
      <c r="P130" s="1455"/>
      <c r="Q130" s="1454" t="str">
        <f>IF(E130="","","Error = "&amp;ROUND(100*ABS('3) Aspen Impedances'!$E$94/(E130/100)-1),2)&amp;"%"&amp;IF(ABS('3) Aspen Impedances'!$E$94/(E130/100)-1)&gt;0.03,", Impdance Does Not Match Aspen",""))</f>
        <v/>
      </c>
      <c r="R130" s="1461"/>
      <c r="S130" s="1461"/>
      <c r="T130" s="1461"/>
      <c r="U130" s="1461"/>
      <c r="V130" s="1461"/>
      <c r="W130" s="1520"/>
    </row>
    <row r="131" spans="1:23" ht="12" hidden="1" customHeight="1">
      <c r="A131" s="1435" t="s">
        <v>124</v>
      </c>
      <c r="B131" s="1436"/>
      <c r="C131" s="1436"/>
      <c r="D131" s="1437"/>
      <c r="E131" s="1529" t="str">
        <f>IF('3) Aspen Impedances'!C94&lt;&gt;"",'3) Aspen Impedances'!F94*100,"")</f>
        <v/>
      </c>
      <c r="F131" s="1530"/>
      <c r="G131" s="1456" t="s">
        <v>100</v>
      </c>
      <c r="H131" s="1456"/>
      <c r="I131" s="1454"/>
      <c r="J131" s="1461"/>
      <c r="K131" s="1461"/>
      <c r="L131" s="1461"/>
      <c r="M131" s="1461"/>
      <c r="N131" s="1461"/>
      <c r="O131" s="1461"/>
      <c r="P131" s="1455"/>
      <c r="Q131" s="1454" t="str">
        <f>IF(E131="","","Error = "&amp;ROUND(100*ABS('3) Aspen Impedances'!$F$94/(E131/100)-1),2)&amp;"%"&amp;IF(ABS('3) Aspen Impedances'!$F$94/(E131/100)-1)&gt;0.03,", Impdance Does Not Match Aspen",""))</f>
        <v/>
      </c>
      <c r="R131" s="1461"/>
      <c r="S131" s="1461"/>
      <c r="T131" s="1461"/>
      <c r="U131" s="1461"/>
      <c r="V131" s="1461"/>
      <c r="W131" s="1520"/>
    </row>
    <row r="132" spans="1:23" ht="12" hidden="1" customHeight="1">
      <c r="A132" s="1435" t="s">
        <v>125</v>
      </c>
      <c r="B132" s="1436"/>
      <c r="C132" s="1436"/>
      <c r="D132" s="1437"/>
      <c r="E132" s="1529" t="str">
        <f>IF('3) Aspen Impedances'!C94&lt;&gt;"",'3) Aspen Impedances'!G94*100,"")</f>
        <v/>
      </c>
      <c r="F132" s="1530"/>
      <c r="G132" s="1456" t="s">
        <v>100</v>
      </c>
      <c r="H132" s="1456"/>
      <c r="I132" s="1454"/>
      <c r="J132" s="1461"/>
      <c r="K132" s="1461"/>
      <c r="L132" s="1461"/>
      <c r="M132" s="1461"/>
      <c r="N132" s="1461"/>
      <c r="O132" s="1461"/>
      <c r="P132" s="1455"/>
      <c r="Q132" s="1454" t="str">
        <f>IF(E132="","","Error = "&amp;ROUND(100*ABS('3) Aspen Impedances'!$G$94/(E132/100)-1),2)&amp;"%"&amp;IF(ABS('3) Aspen Impedances'!$G$94/(E132/100)-1)&gt;0.03,", Impdance Does Not Match Aspen",""))</f>
        <v/>
      </c>
      <c r="R132" s="1461"/>
      <c r="S132" s="1461"/>
      <c r="T132" s="1461"/>
      <c r="U132" s="1461"/>
      <c r="V132" s="1461"/>
      <c r="W132" s="1520"/>
    </row>
    <row r="133" spans="1:23" ht="12" hidden="1" customHeight="1">
      <c r="A133" s="1435" t="s">
        <v>126</v>
      </c>
      <c r="B133" s="1436"/>
      <c r="C133" s="1436"/>
      <c r="D133" s="1437"/>
      <c r="E133" s="1529" t="str">
        <f>IF('3) Aspen Impedances'!C94&lt;&gt;"",'3) Aspen Impedances'!H94*100,"")</f>
        <v/>
      </c>
      <c r="F133" s="1530"/>
      <c r="G133" s="1456" t="s">
        <v>100</v>
      </c>
      <c r="H133" s="1456"/>
      <c r="I133" s="1454"/>
      <c r="J133" s="1461"/>
      <c r="K133" s="1461"/>
      <c r="L133" s="1461"/>
      <c r="M133" s="1461"/>
      <c r="N133" s="1461"/>
      <c r="O133" s="1461"/>
      <c r="P133" s="1455"/>
      <c r="Q133" s="1454" t="str">
        <f>IF(E133="","","Error = "&amp;ROUND(100*ABS('3) Aspen Impedances'!$H$94/(E133/100)-1),2)&amp;"%"&amp;IF(ABS('3) Aspen Impedances'!$H$94/(E133/100)-1)&gt;0.03,", Impdance Does Not Match Aspen",""))</f>
        <v/>
      </c>
      <c r="R133" s="1461"/>
      <c r="S133" s="1461"/>
      <c r="T133" s="1461"/>
      <c r="U133" s="1461"/>
      <c r="V133" s="1461"/>
      <c r="W133" s="1520"/>
    </row>
    <row r="134" spans="1:23" ht="12" hidden="1" customHeight="1">
      <c r="A134" s="1536" t="s">
        <v>104</v>
      </c>
      <c r="B134" s="1433"/>
      <c r="C134" s="1433"/>
      <c r="D134" s="1501"/>
      <c r="E134" s="1543" t="str">
        <f>IF('3) Aspen Impedances'!C94&lt;&gt;"",'3) Aspen Impedances'!I94,"")</f>
        <v/>
      </c>
      <c r="F134" s="1544"/>
      <c r="G134" s="1454" t="s">
        <v>105</v>
      </c>
      <c r="H134" s="1455"/>
      <c r="I134" s="1454"/>
      <c r="J134" s="1461"/>
      <c r="K134" s="1461"/>
      <c r="L134" s="1461"/>
      <c r="M134" s="1461"/>
      <c r="N134" s="1461"/>
      <c r="O134" s="1461"/>
      <c r="P134" s="1455"/>
      <c r="Q134" s="1454" t="str">
        <f>IF(E134="","","Error = "&amp;ROUND(100*ABS('3) Aspen Impedances'!$I$94/(E134)-1),2)&amp;"%"&amp;IF(ABS('3) Aspen Impedances'!I94/E134-1)&gt;0.03,", Line Length Does Not Match Aspen",""))</f>
        <v/>
      </c>
      <c r="R134" s="1461"/>
      <c r="S134" s="1461"/>
      <c r="T134" s="1461"/>
      <c r="U134" s="1461"/>
      <c r="V134" s="1461"/>
      <c r="W134" s="1520"/>
    </row>
    <row r="135" spans="1:23" ht="12" hidden="1" customHeight="1">
      <c r="A135" s="1435"/>
      <c r="B135" s="1436"/>
      <c r="C135" s="1436"/>
      <c r="D135" s="1437"/>
      <c r="E135" s="1545"/>
      <c r="F135" s="1545"/>
      <c r="G135" s="1470"/>
      <c r="H135" s="1471"/>
      <c r="I135" s="1505"/>
      <c r="J135" s="1459"/>
      <c r="K135" s="1459"/>
      <c r="L135" s="1459"/>
      <c r="M135" s="1459"/>
      <c r="N135" s="1459"/>
      <c r="O135" s="1459"/>
      <c r="P135" s="1460"/>
      <c r="Q135" s="1505"/>
      <c r="R135" s="1459"/>
      <c r="S135" s="1459"/>
      <c r="T135" s="1459"/>
      <c r="U135" s="1459"/>
      <c r="V135" s="1459"/>
      <c r="W135" s="1506"/>
    </row>
    <row r="136" spans="1:23" ht="12" hidden="1" customHeight="1">
      <c r="A136" s="1435" t="s">
        <v>128</v>
      </c>
      <c r="B136" s="1436"/>
      <c r="C136" s="1436"/>
      <c r="D136" s="1437"/>
      <c r="E136" s="1529" t="str">
        <f>IF('3) Aspen Impedances'!C102&lt;&gt;"",'3) Aspen Impedances'!C102,"")</f>
        <v/>
      </c>
      <c r="F136" s="1530"/>
      <c r="G136" s="1454"/>
      <c r="H136" s="1455"/>
      <c r="I136" s="1454"/>
      <c r="J136" s="1461"/>
      <c r="K136" s="1461"/>
      <c r="L136" s="1461"/>
      <c r="M136" s="1461"/>
      <c r="N136" s="1461"/>
      <c r="O136" s="1461"/>
      <c r="P136" s="1455"/>
      <c r="Q136" s="1454" t="str">
        <f>IF(E137="","",IF('5) Infeed'!R44=0,"Must Complete Infeed Calculation",""))</f>
        <v/>
      </c>
      <c r="R136" s="1461"/>
      <c r="S136" s="1461"/>
      <c r="T136" s="1461"/>
      <c r="U136" s="1461"/>
      <c r="V136" s="1461"/>
      <c r="W136" s="1520"/>
    </row>
    <row r="137" spans="1:23" ht="12" hidden="1" customHeight="1">
      <c r="A137" s="1435" t="s">
        <v>121</v>
      </c>
      <c r="B137" s="1436"/>
      <c r="C137" s="1436"/>
      <c r="D137" s="1437"/>
      <c r="E137" s="1529" t="str">
        <f>IF('3) Aspen Impedances'!C102&lt;&gt;"",'3) Aspen Impedances'!D102,"")</f>
        <v/>
      </c>
      <c r="F137" s="1530"/>
      <c r="G137" s="1345"/>
      <c r="H137" s="1346"/>
      <c r="I137" s="1454"/>
      <c r="J137" s="1461"/>
      <c r="K137" s="1461"/>
      <c r="L137" s="1461"/>
      <c r="M137" s="1461"/>
      <c r="N137" s="1461"/>
      <c r="O137" s="1461"/>
      <c r="P137" s="1455"/>
      <c r="Q137" s="1454" t="str">
        <f>IF(E136="","","Fill out impedance to "&amp;E136&amp;" on Aspen Imp. tab")</f>
        <v/>
      </c>
      <c r="R137" s="1461"/>
      <c r="S137" s="1461"/>
      <c r="T137" s="1461"/>
      <c r="U137" s="1461"/>
      <c r="V137" s="1461"/>
      <c r="W137" s="1520"/>
    </row>
    <row r="138" spans="1:23" ht="12" hidden="1" customHeight="1">
      <c r="A138" s="1533" t="s">
        <v>123</v>
      </c>
      <c r="B138" s="1534"/>
      <c r="C138" s="1534"/>
      <c r="D138" s="1535"/>
      <c r="E138" s="1529" t="str">
        <f>IF('3) Aspen Impedances'!C102&lt;&gt;"",'3) Aspen Impedances'!E102*100,"")</f>
        <v/>
      </c>
      <c r="F138" s="1530"/>
      <c r="G138" s="1456" t="s">
        <v>100</v>
      </c>
      <c r="H138" s="1456"/>
      <c r="I138" s="1454"/>
      <c r="J138" s="1461"/>
      <c r="K138" s="1461"/>
      <c r="L138" s="1461"/>
      <c r="M138" s="1461"/>
      <c r="N138" s="1461"/>
      <c r="O138" s="1461"/>
      <c r="P138" s="1455"/>
      <c r="Q138" s="1454" t="str">
        <f>IF(E138="","","Error = "&amp;ROUND(100*ABS('3) Aspen Impedances'!$E$102/(E138/100)-1),2)&amp;"%"&amp;IF(ABS('3) Aspen Impedances'!$E$102/(E138/100)-1)&gt;0.03,", Impdance Does Not Match Aspen",""))</f>
        <v/>
      </c>
      <c r="R138" s="1461"/>
      <c r="S138" s="1461"/>
      <c r="T138" s="1461"/>
      <c r="U138" s="1461"/>
      <c r="V138" s="1461"/>
      <c r="W138" s="1520"/>
    </row>
    <row r="139" spans="1:23" ht="12" hidden="1" customHeight="1">
      <c r="A139" s="1435" t="s">
        <v>124</v>
      </c>
      <c r="B139" s="1436"/>
      <c r="C139" s="1436"/>
      <c r="D139" s="1437"/>
      <c r="E139" s="1529" t="str">
        <f>IF('3) Aspen Impedances'!C102&lt;&gt;"",'3) Aspen Impedances'!F102*100,"")</f>
        <v/>
      </c>
      <c r="F139" s="1530"/>
      <c r="G139" s="1456" t="s">
        <v>100</v>
      </c>
      <c r="H139" s="1456"/>
      <c r="I139" s="1454"/>
      <c r="J139" s="1461"/>
      <c r="K139" s="1461"/>
      <c r="L139" s="1461"/>
      <c r="M139" s="1461"/>
      <c r="N139" s="1461"/>
      <c r="O139" s="1461"/>
      <c r="P139" s="1455"/>
      <c r="Q139" s="1454" t="str">
        <f>IF(E139="","","Error = "&amp;ROUND(100*ABS('3) Aspen Impedances'!$F$102/(E139/100)-1),2)&amp;"%"&amp;IF(ABS('3) Aspen Impedances'!$F$102/(E139/100)-1)&gt;0.03,", Impdance Does Not Match Aspen",""))</f>
        <v/>
      </c>
      <c r="R139" s="1461"/>
      <c r="S139" s="1461"/>
      <c r="T139" s="1461"/>
      <c r="U139" s="1461"/>
      <c r="V139" s="1461"/>
      <c r="W139" s="1520"/>
    </row>
    <row r="140" spans="1:23" ht="12" hidden="1" customHeight="1">
      <c r="A140" s="1435" t="s">
        <v>125</v>
      </c>
      <c r="B140" s="1436"/>
      <c r="C140" s="1436"/>
      <c r="D140" s="1437"/>
      <c r="E140" s="1529" t="str">
        <f>IF('3) Aspen Impedances'!C102&lt;&gt;"",'3) Aspen Impedances'!G102*100,"")</f>
        <v/>
      </c>
      <c r="F140" s="1530"/>
      <c r="G140" s="1456" t="s">
        <v>100</v>
      </c>
      <c r="H140" s="1456"/>
      <c r="I140" s="1454"/>
      <c r="J140" s="1461"/>
      <c r="K140" s="1461"/>
      <c r="L140" s="1461"/>
      <c r="M140" s="1461"/>
      <c r="N140" s="1461"/>
      <c r="O140" s="1461"/>
      <c r="P140" s="1455"/>
      <c r="Q140" s="1454" t="str">
        <f>IF(E140="","","Error = "&amp;ROUND(100*ABS('3) Aspen Impedances'!$G$102/(E140/100)-1),2)&amp;"%"&amp;IF(ABS('3) Aspen Impedances'!$G$102/(E140/100)-1)&gt;0.03,", Impdance Does Not Match Aspen",""))</f>
        <v/>
      </c>
      <c r="R140" s="1461"/>
      <c r="S140" s="1461"/>
      <c r="T140" s="1461"/>
      <c r="U140" s="1461"/>
      <c r="V140" s="1461"/>
      <c r="W140" s="1520"/>
    </row>
    <row r="141" spans="1:23" ht="12" hidden="1" customHeight="1">
      <c r="A141" s="1435" t="s">
        <v>126</v>
      </c>
      <c r="B141" s="1436"/>
      <c r="C141" s="1436"/>
      <c r="D141" s="1437"/>
      <c r="E141" s="1529" t="str">
        <f>IF('3) Aspen Impedances'!C102&lt;&gt;"",'3) Aspen Impedances'!H102*100,"")</f>
        <v/>
      </c>
      <c r="F141" s="1530"/>
      <c r="G141" s="1456" t="s">
        <v>100</v>
      </c>
      <c r="H141" s="1456"/>
      <c r="I141" s="1454"/>
      <c r="J141" s="1461"/>
      <c r="K141" s="1461"/>
      <c r="L141" s="1461"/>
      <c r="M141" s="1461"/>
      <c r="N141" s="1461"/>
      <c r="O141" s="1461"/>
      <c r="P141" s="1455"/>
      <c r="Q141" s="1454" t="str">
        <f>IF(E141="","","Error = "&amp;ROUND(100*ABS('3) Aspen Impedances'!$H$102/(E141/100)-1),2)&amp;"%"&amp;IF(ABS('3) Aspen Impedances'!$H$102/(E141/100)-1)&gt;0.03,", Impdance Does Not Match Aspen",""))</f>
        <v/>
      </c>
      <c r="R141" s="1461"/>
      <c r="S141" s="1461"/>
      <c r="T141" s="1461"/>
      <c r="U141" s="1461"/>
      <c r="V141" s="1461"/>
      <c r="W141" s="1520"/>
    </row>
    <row r="142" spans="1:23" ht="12" hidden="1" customHeight="1">
      <c r="A142" s="1536" t="s">
        <v>104</v>
      </c>
      <c r="B142" s="1433"/>
      <c r="C142" s="1433"/>
      <c r="D142" s="1501"/>
      <c r="E142" s="1543" t="str">
        <f>IF('3) Aspen Impedances'!C102&lt;&gt;"",'3) Aspen Impedances'!I102,"")</f>
        <v/>
      </c>
      <c r="F142" s="1544"/>
      <c r="G142" s="1454" t="s">
        <v>105</v>
      </c>
      <c r="H142" s="1455"/>
      <c r="I142" s="1454"/>
      <c r="J142" s="1461"/>
      <c r="K142" s="1461"/>
      <c r="L142" s="1461"/>
      <c r="M142" s="1461"/>
      <c r="N142" s="1461"/>
      <c r="O142" s="1461"/>
      <c r="P142" s="1455"/>
      <c r="Q142" s="1454" t="str">
        <f>IF(E142="","","Error = "&amp;ROUND(100*ABS('3) Aspen Impedances'!$I$102/(E142)-1),2)&amp;"%"&amp;IF(ABS('3) Aspen Impedances'!I102/E142-1)&gt;0.03,", Line Length Does Not Match Aspen",""))</f>
        <v/>
      </c>
      <c r="R142" s="1461"/>
      <c r="S142" s="1461"/>
      <c r="T142" s="1461"/>
      <c r="U142" s="1461"/>
      <c r="V142" s="1461"/>
      <c r="W142" s="1520"/>
    </row>
    <row r="143" spans="1:23" ht="12" hidden="1" customHeight="1">
      <c r="A143" s="1435"/>
      <c r="B143" s="1436"/>
      <c r="C143" s="1436"/>
      <c r="D143" s="1437"/>
      <c r="E143" s="1545"/>
      <c r="F143" s="1545"/>
      <c r="G143" s="1470"/>
      <c r="H143" s="1471"/>
      <c r="I143" s="1505"/>
      <c r="J143" s="1459"/>
      <c r="K143" s="1459"/>
      <c r="L143" s="1459"/>
      <c r="M143" s="1459"/>
      <c r="N143" s="1459"/>
      <c r="O143" s="1459"/>
      <c r="P143" s="1460"/>
      <c r="Q143" s="1505"/>
      <c r="R143" s="1459"/>
      <c r="S143" s="1459"/>
      <c r="T143" s="1459"/>
      <c r="U143" s="1459"/>
      <c r="V143" s="1459"/>
      <c r="W143" s="1506"/>
    </row>
    <row r="144" spans="1:23" ht="12" hidden="1" customHeight="1">
      <c r="A144" s="1435" t="s">
        <v>129</v>
      </c>
      <c r="B144" s="1436"/>
      <c r="C144" s="1436"/>
      <c r="D144" s="1437"/>
      <c r="E144" s="1529" t="str">
        <f>IF('3) Aspen Impedances'!C110&lt;&gt;"",'3) Aspen Impedances'!C110,"")</f>
        <v/>
      </c>
      <c r="F144" s="1530"/>
      <c r="G144" s="1454"/>
      <c r="H144" s="1455"/>
      <c r="I144" s="1454"/>
      <c r="J144" s="1461"/>
      <c r="K144" s="1461"/>
      <c r="L144" s="1461"/>
      <c r="M144" s="1461"/>
      <c r="N144" s="1461"/>
      <c r="O144" s="1461"/>
      <c r="P144" s="1455"/>
      <c r="Q144" s="1454" t="str">
        <f>IF(E145="","",IF('5) Infeed'!R45=0,"Must Complete Infeed Calculation",""))</f>
        <v/>
      </c>
      <c r="R144" s="1461"/>
      <c r="S144" s="1461"/>
      <c r="T144" s="1461"/>
      <c r="U144" s="1461"/>
      <c r="V144" s="1461"/>
      <c r="W144" s="1520"/>
    </row>
    <row r="145" spans="1:23" ht="12" hidden="1" customHeight="1">
      <c r="A145" s="1435" t="s">
        <v>121</v>
      </c>
      <c r="B145" s="1436"/>
      <c r="C145" s="1436"/>
      <c r="D145" s="1437"/>
      <c r="E145" s="1529" t="str">
        <f>IF('3) Aspen Impedances'!C110&lt;&gt;"",'3) Aspen Impedances'!D110,"")</f>
        <v/>
      </c>
      <c r="F145" s="1530"/>
      <c r="G145" s="1345"/>
      <c r="H145" s="1346"/>
      <c r="I145" s="1454"/>
      <c r="J145" s="1461"/>
      <c r="K145" s="1461"/>
      <c r="L145" s="1461"/>
      <c r="M145" s="1461"/>
      <c r="N145" s="1461"/>
      <c r="O145" s="1461"/>
      <c r="P145" s="1455"/>
      <c r="Q145" s="1454" t="str">
        <f>IF(E144="","","Fill out impedance to "&amp;E144&amp;" on Aspen Imp. tab")</f>
        <v/>
      </c>
      <c r="R145" s="1461"/>
      <c r="S145" s="1461"/>
      <c r="T145" s="1461"/>
      <c r="U145" s="1461"/>
      <c r="V145" s="1461"/>
      <c r="W145" s="1520"/>
    </row>
    <row r="146" spans="1:23" ht="12" hidden="1" customHeight="1">
      <c r="A146" s="1533" t="s">
        <v>123</v>
      </c>
      <c r="B146" s="1534"/>
      <c r="C146" s="1534"/>
      <c r="D146" s="1535"/>
      <c r="E146" s="1529" t="str">
        <f>IF('3) Aspen Impedances'!C110&lt;&gt;"",'3) Aspen Impedances'!E110*100,"")</f>
        <v/>
      </c>
      <c r="F146" s="1530"/>
      <c r="G146" s="1456" t="s">
        <v>100</v>
      </c>
      <c r="H146" s="1456"/>
      <c r="I146" s="1454"/>
      <c r="J146" s="1461"/>
      <c r="K146" s="1461"/>
      <c r="L146" s="1461"/>
      <c r="M146" s="1461"/>
      <c r="N146" s="1461"/>
      <c r="O146" s="1461"/>
      <c r="P146" s="1455"/>
      <c r="Q146" s="1454" t="str">
        <f>IF(E146="","","Error = "&amp;ROUND(100*ABS('3) Aspen Impedances'!$E$110/(E146/100)-1),2)&amp;"%"&amp;IF(ABS('3) Aspen Impedances'!$E$110/(E146/100)-1)&gt;0.03,", Impdance Does Not Match Aspen",""))</f>
        <v/>
      </c>
      <c r="R146" s="1461"/>
      <c r="S146" s="1461"/>
      <c r="T146" s="1461"/>
      <c r="U146" s="1461"/>
      <c r="V146" s="1461"/>
      <c r="W146" s="1520"/>
    </row>
    <row r="147" spans="1:23" ht="12" hidden="1" customHeight="1">
      <c r="A147" s="1435" t="s">
        <v>124</v>
      </c>
      <c r="B147" s="1436"/>
      <c r="C147" s="1436"/>
      <c r="D147" s="1437"/>
      <c r="E147" s="1529" t="str">
        <f>IF('3) Aspen Impedances'!C110&lt;&gt;"",'3) Aspen Impedances'!F110*100,"")</f>
        <v/>
      </c>
      <c r="F147" s="1530"/>
      <c r="G147" s="1456" t="s">
        <v>100</v>
      </c>
      <c r="H147" s="1456"/>
      <c r="I147" s="1454"/>
      <c r="J147" s="1461"/>
      <c r="K147" s="1461"/>
      <c r="L147" s="1461"/>
      <c r="M147" s="1461"/>
      <c r="N147" s="1461"/>
      <c r="O147" s="1461"/>
      <c r="P147" s="1455"/>
      <c r="Q147" s="1454" t="str">
        <f>IF(E147="","","Error = "&amp;ROUND(100*ABS('3) Aspen Impedances'!$F$110/(E147/100)-1),2)&amp;"%"&amp;IF(ABS('3) Aspen Impedances'!$F$110/(E147/100)-1)&gt;0.03,", Impdance Does Not Match Aspen",""))</f>
        <v/>
      </c>
      <c r="R147" s="1461"/>
      <c r="S147" s="1461"/>
      <c r="T147" s="1461"/>
      <c r="U147" s="1461"/>
      <c r="V147" s="1461"/>
      <c r="W147" s="1520"/>
    </row>
    <row r="148" spans="1:23" ht="12" hidden="1" customHeight="1">
      <c r="A148" s="1435" t="s">
        <v>125</v>
      </c>
      <c r="B148" s="1436"/>
      <c r="C148" s="1436"/>
      <c r="D148" s="1437"/>
      <c r="E148" s="1529" t="str">
        <f>IF('3) Aspen Impedances'!C110&lt;&gt;"",'3) Aspen Impedances'!G110*100,"")</f>
        <v/>
      </c>
      <c r="F148" s="1530"/>
      <c r="G148" s="1456" t="s">
        <v>100</v>
      </c>
      <c r="H148" s="1456"/>
      <c r="I148" s="1454"/>
      <c r="J148" s="1461"/>
      <c r="K148" s="1461"/>
      <c r="L148" s="1461"/>
      <c r="M148" s="1461"/>
      <c r="N148" s="1461"/>
      <c r="O148" s="1461"/>
      <c r="P148" s="1455"/>
      <c r="Q148" s="1454" t="str">
        <f>IF(E148="","","Error = "&amp;ROUND(100*ABS('3) Aspen Impedances'!$G$110/(E148/100)-1),2)&amp;"%"&amp;IF(ABS('3) Aspen Impedances'!$G$110/(E148/100)-1)&gt;0.03,", Impdance Does Not Match Aspen",""))</f>
        <v/>
      </c>
      <c r="R148" s="1461"/>
      <c r="S148" s="1461"/>
      <c r="T148" s="1461"/>
      <c r="U148" s="1461"/>
      <c r="V148" s="1461"/>
      <c r="W148" s="1520"/>
    </row>
    <row r="149" spans="1:23" ht="12" hidden="1" customHeight="1">
      <c r="A149" s="1435" t="s">
        <v>126</v>
      </c>
      <c r="B149" s="1436"/>
      <c r="C149" s="1436"/>
      <c r="D149" s="1437"/>
      <c r="E149" s="1529" t="str">
        <f>IF('3) Aspen Impedances'!C110&lt;&gt;"",'3) Aspen Impedances'!H110*100,"")</f>
        <v/>
      </c>
      <c r="F149" s="1530"/>
      <c r="G149" s="1456" t="s">
        <v>100</v>
      </c>
      <c r="H149" s="1456"/>
      <c r="I149" s="1454"/>
      <c r="J149" s="1461"/>
      <c r="K149" s="1461"/>
      <c r="L149" s="1461"/>
      <c r="M149" s="1461"/>
      <c r="N149" s="1461"/>
      <c r="O149" s="1461"/>
      <c r="P149" s="1455"/>
      <c r="Q149" s="1454" t="str">
        <f>IF(E149="","","Error = "&amp;ROUND(100*ABS('3) Aspen Impedances'!$H$110/(E149/100)-1),2)&amp;"%"&amp;IF(ABS('3) Aspen Impedances'!$H$110/(E149/100)-1)&gt;0.03,", Impdance Does Not Match Aspen",""))</f>
        <v/>
      </c>
      <c r="R149" s="1461"/>
      <c r="S149" s="1461"/>
      <c r="T149" s="1461"/>
      <c r="U149" s="1461"/>
      <c r="V149" s="1461"/>
      <c r="W149" s="1520"/>
    </row>
    <row r="150" spans="1:23" ht="12" hidden="1" customHeight="1">
      <c r="A150" s="1536" t="s">
        <v>104</v>
      </c>
      <c r="B150" s="1433"/>
      <c r="C150" s="1433"/>
      <c r="D150" s="1501"/>
      <c r="E150" s="1543" t="str">
        <f>IF('3) Aspen Impedances'!C110&lt;&gt;"",'3) Aspen Impedances'!I110,"")</f>
        <v/>
      </c>
      <c r="F150" s="1544"/>
      <c r="G150" s="1454" t="s">
        <v>105</v>
      </c>
      <c r="H150" s="1455"/>
      <c r="I150" s="1454"/>
      <c r="J150" s="1461"/>
      <c r="K150" s="1461"/>
      <c r="L150" s="1461"/>
      <c r="M150" s="1461"/>
      <c r="N150" s="1461"/>
      <c r="O150" s="1461"/>
      <c r="P150" s="1455"/>
      <c r="Q150" s="1454" t="str">
        <f>IF(E150="","","Error = "&amp;ROUND(100*ABS('3) Aspen Impedances'!$I$110/(E150)-1),2)&amp;"%"&amp;IF(ABS('3) Aspen Impedances'!I110/E150-1)&gt;0.03,", Line Length Does Not Match Aspen",""))</f>
        <v/>
      </c>
      <c r="R150" s="1461"/>
      <c r="S150" s="1461"/>
      <c r="T150" s="1461"/>
      <c r="U150" s="1461"/>
      <c r="V150" s="1461"/>
      <c r="W150" s="1520"/>
    </row>
    <row r="151" spans="1:23" ht="12" hidden="1" customHeight="1">
      <c r="A151" s="1435"/>
      <c r="B151" s="1436"/>
      <c r="C151" s="1436"/>
      <c r="D151" s="1437"/>
      <c r="E151" s="1545"/>
      <c r="F151" s="1545"/>
      <c r="G151" s="1470"/>
      <c r="H151" s="1471"/>
      <c r="I151" s="1505"/>
      <c r="J151" s="1459"/>
      <c r="K151" s="1459"/>
      <c r="L151" s="1459"/>
      <c r="M151" s="1459"/>
      <c r="N151" s="1459"/>
      <c r="O151" s="1459"/>
      <c r="P151" s="1460"/>
      <c r="Q151" s="1505"/>
      <c r="R151" s="1459"/>
      <c r="S151" s="1459"/>
      <c r="T151" s="1459"/>
      <c r="U151" s="1459"/>
      <c r="V151" s="1459"/>
      <c r="W151" s="1506"/>
    </row>
    <row r="152" spans="1:23" ht="12" hidden="1" customHeight="1">
      <c r="A152" s="1435" t="s">
        <v>130</v>
      </c>
      <c r="B152" s="1436"/>
      <c r="C152" s="1436"/>
      <c r="D152" s="1437"/>
      <c r="E152" s="1529" t="str">
        <f>IF('3) Aspen Impedances'!C118&lt;&gt;"",'3) Aspen Impedances'!C118,"")</f>
        <v/>
      </c>
      <c r="F152" s="1530"/>
      <c r="G152" s="1454"/>
      <c r="H152" s="1455"/>
      <c r="I152" s="1454"/>
      <c r="J152" s="1461"/>
      <c r="K152" s="1461"/>
      <c r="L152" s="1461"/>
      <c r="M152" s="1461"/>
      <c r="N152" s="1461"/>
      <c r="O152" s="1461"/>
      <c r="P152" s="1455"/>
      <c r="Q152" s="1454" t="str">
        <f>IF(E153="","",IF('5) Infeed'!R46=0,"Must Complete Infeed Calculation",""))</f>
        <v/>
      </c>
      <c r="R152" s="1461"/>
      <c r="S152" s="1461"/>
      <c r="T152" s="1461"/>
      <c r="U152" s="1461"/>
      <c r="V152" s="1461"/>
      <c r="W152" s="1520"/>
    </row>
    <row r="153" spans="1:23" ht="12" hidden="1" customHeight="1">
      <c r="A153" s="1435" t="s">
        <v>121</v>
      </c>
      <c r="B153" s="1436"/>
      <c r="C153" s="1436"/>
      <c r="D153" s="1437"/>
      <c r="E153" s="1529" t="str">
        <f>IF('3) Aspen Impedances'!C118&lt;&gt;"",'3) Aspen Impedances'!D118,"")</f>
        <v/>
      </c>
      <c r="F153" s="1530"/>
      <c r="G153" s="1345"/>
      <c r="H153" s="1346"/>
      <c r="I153" s="1454"/>
      <c r="J153" s="1461"/>
      <c r="K153" s="1461"/>
      <c r="L153" s="1461"/>
      <c r="M153" s="1461"/>
      <c r="N153" s="1461"/>
      <c r="O153" s="1461"/>
      <c r="P153" s="1455"/>
      <c r="Q153" s="1454" t="str">
        <f>IF(E152="","","Fill out impedance to "&amp;E152&amp;" on Aspen Imp. tab")</f>
        <v/>
      </c>
      <c r="R153" s="1461"/>
      <c r="S153" s="1461"/>
      <c r="T153" s="1461"/>
      <c r="U153" s="1461"/>
      <c r="V153" s="1461"/>
      <c r="W153" s="1520"/>
    </row>
    <row r="154" spans="1:23" ht="12" hidden="1" customHeight="1">
      <c r="A154" s="1533" t="s">
        <v>123</v>
      </c>
      <c r="B154" s="1534"/>
      <c r="C154" s="1534"/>
      <c r="D154" s="1535"/>
      <c r="E154" s="1529" t="str">
        <f>IF('3) Aspen Impedances'!C118&lt;&gt;"",'3) Aspen Impedances'!E118*100,"")</f>
        <v/>
      </c>
      <c r="F154" s="1530"/>
      <c r="G154" s="1456" t="s">
        <v>100</v>
      </c>
      <c r="H154" s="1456"/>
      <c r="I154" s="1454"/>
      <c r="J154" s="1461"/>
      <c r="K154" s="1461"/>
      <c r="L154" s="1461"/>
      <c r="M154" s="1461"/>
      <c r="N154" s="1461"/>
      <c r="O154" s="1461"/>
      <c r="P154" s="1455"/>
      <c r="Q154" s="1454" t="str">
        <f>IF(E154="","","Error = "&amp;ROUND(100*ABS('3) Aspen Impedances'!$E$118/(E154/100)-1),2)&amp;"%"&amp;IF(ABS('3) Aspen Impedances'!$E$118/(E154/100)-1)&gt;0.03,", Impdance Does Not Match Aspen",""))</f>
        <v/>
      </c>
      <c r="R154" s="1461"/>
      <c r="S154" s="1461"/>
      <c r="T154" s="1461"/>
      <c r="U154" s="1461"/>
      <c r="V154" s="1461"/>
      <c r="W154" s="1520"/>
    </row>
    <row r="155" spans="1:23" ht="12" hidden="1" customHeight="1">
      <c r="A155" s="1435" t="s">
        <v>124</v>
      </c>
      <c r="B155" s="1436"/>
      <c r="C155" s="1436"/>
      <c r="D155" s="1437"/>
      <c r="E155" s="1529" t="str">
        <f>IF('3) Aspen Impedances'!C118&lt;&gt;"",'3) Aspen Impedances'!F118*100,"")</f>
        <v/>
      </c>
      <c r="F155" s="1530"/>
      <c r="G155" s="1456" t="s">
        <v>100</v>
      </c>
      <c r="H155" s="1456"/>
      <c r="I155" s="1454"/>
      <c r="J155" s="1461"/>
      <c r="K155" s="1461"/>
      <c r="L155" s="1461"/>
      <c r="M155" s="1461"/>
      <c r="N155" s="1461"/>
      <c r="O155" s="1461"/>
      <c r="P155" s="1455"/>
      <c r="Q155" s="1454" t="str">
        <f>IF(E155="","","Error = "&amp;ROUND(100*ABS('3) Aspen Impedances'!$F$118/(E155/100)-1),2)&amp;"%"&amp;IF(ABS('3) Aspen Impedances'!$F$118/(E155/100)-1)&gt;0.03,", Impdance Does Not Match Aspen",""))</f>
        <v/>
      </c>
      <c r="R155" s="1461"/>
      <c r="S155" s="1461"/>
      <c r="T155" s="1461"/>
      <c r="U155" s="1461"/>
      <c r="V155" s="1461"/>
      <c r="W155" s="1520"/>
    </row>
    <row r="156" spans="1:23" ht="12" hidden="1" customHeight="1">
      <c r="A156" s="1435" t="s">
        <v>125</v>
      </c>
      <c r="B156" s="1436"/>
      <c r="C156" s="1436"/>
      <c r="D156" s="1437"/>
      <c r="E156" s="1529" t="str">
        <f>IF('3) Aspen Impedances'!C118&lt;&gt;"",'3) Aspen Impedances'!G118*100,"")</f>
        <v/>
      </c>
      <c r="F156" s="1530"/>
      <c r="G156" s="1456" t="s">
        <v>100</v>
      </c>
      <c r="H156" s="1456"/>
      <c r="I156" s="1454"/>
      <c r="J156" s="1461"/>
      <c r="K156" s="1461"/>
      <c r="L156" s="1461"/>
      <c r="M156" s="1461"/>
      <c r="N156" s="1461"/>
      <c r="O156" s="1461"/>
      <c r="P156" s="1455"/>
      <c r="Q156" s="1454" t="str">
        <f>IF(E156="","","Error = "&amp;ROUND(100*ABS('3) Aspen Impedances'!$G$118/(E156/100)-1),2)&amp;"%"&amp;IF(ABS('3) Aspen Impedances'!$G$118/(E156/100)-1)&gt;0.03,", Impdance Does Not Match Aspen",""))</f>
        <v/>
      </c>
      <c r="R156" s="1461"/>
      <c r="S156" s="1461"/>
      <c r="T156" s="1461"/>
      <c r="U156" s="1461"/>
      <c r="V156" s="1461"/>
      <c r="W156" s="1520"/>
    </row>
    <row r="157" spans="1:23" ht="12" hidden="1" customHeight="1">
      <c r="A157" s="1435" t="s">
        <v>126</v>
      </c>
      <c r="B157" s="1436"/>
      <c r="C157" s="1436"/>
      <c r="D157" s="1437"/>
      <c r="E157" s="1529" t="str">
        <f>IF('3) Aspen Impedances'!C118&lt;&gt;"",'3) Aspen Impedances'!H118*100,"")</f>
        <v/>
      </c>
      <c r="F157" s="1530"/>
      <c r="G157" s="1456" t="s">
        <v>100</v>
      </c>
      <c r="H157" s="1456"/>
      <c r="I157" s="1454"/>
      <c r="J157" s="1461"/>
      <c r="K157" s="1461"/>
      <c r="L157" s="1461"/>
      <c r="M157" s="1461"/>
      <c r="N157" s="1461"/>
      <c r="O157" s="1461"/>
      <c r="P157" s="1455"/>
      <c r="Q157" s="1454" t="str">
        <f>IF(E157="","","Error = "&amp;ROUND(100*ABS('3) Aspen Impedances'!$H$118/(E157/100)-1),2)&amp;"%"&amp;IF(ABS('3) Aspen Impedances'!$H$118/(E157/100)-1)&gt;0.03,", Impdance Does Not Match Aspen",""))</f>
        <v/>
      </c>
      <c r="R157" s="1461"/>
      <c r="S157" s="1461"/>
      <c r="T157" s="1461"/>
      <c r="U157" s="1461"/>
      <c r="V157" s="1461"/>
      <c r="W157" s="1520"/>
    </row>
    <row r="158" spans="1:23" ht="12" hidden="1" customHeight="1">
      <c r="A158" s="1536" t="s">
        <v>104</v>
      </c>
      <c r="B158" s="1433"/>
      <c r="C158" s="1433"/>
      <c r="D158" s="1501"/>
      <c r="E158" s="1543" t="str">
        <f>IF('3) Aspen Impedances'!C118&lt;&gt;"",'3) Aspen Impedances'!I118,"")</f>
        <v/>
      </c>
      <c r="F158" s="1544"/>
      <c r="G158" s="1454" t="s">
        <v>105</v>
      </c>
      <c r="H158" s="1455"/>
      <c r="I158" s="1454"/>
      <c r="J158" s="1461"/>
      <c r="K158" s="1461"/>
      <c r="L158" s="1461"/>
      <c r="M158" s="1461"/>
      <c r="N158" s="1461"/>
      <c r="O158" s="1461"/>
      <c r="P158" s="1455"/>
      <c r="Q158" s="1454" t="str">
        <f>IF(E158="","","Error = "&amp;ROUND(100*ABS('3) Aspen Impedances'!$I$118/(E158)-1),2)&amp;"%"&amp;IF(ABS('3) Aspen Impedances'!I118/E158-1)&gt;0.03,", Line Length Does Not Match Aspen",""))</f>
        <v/>
      </c>
      <c r="R158" s="1461"/>
      <c r="S158" s="1461"/>
      <c r="T158" s="1461"/>
      <c r="U158" s="1461"/>
      <c r="V158" s="1461"/>
      <c r="W158" s="1520"/>
    </row>
    <row r="159" spans="1:23" ht="12" hidden="1" customHeight="1">
      <c r="A159" s="1435"/>
      <c r="B159" s="1436"/>
      <c r="C159" s="1436"/>
      <c r="D159" s="1437"/>
      <c r="E159" s="1545"/>
      <c r="F159" s="1545"/>
      <c r="G159" s="1470"/>
      <c r="H159" s="1471"/>
      <c r="I159" s="1505"/>
      <c r="J159" s="1459"/>
      <c r="K159" s="1459"/>
      <c r="L159" s="1459"/>
      <c r="M159" s="1459"/>
      <c r="N159" s="1459"/>
      <c r="O159" s="1459"/>
      <c r="P159" s="1460"/>
      <c r="Q159" s="1505"/>
      <c r="R159" s="1459"/>
      <c r="S159" s="1459"/>
      <c r="T159" s="1459"/>
      <c r="U159" s="1459"/>
      <c r="V159" s="1459"/>
      <c r="W159" s="1506"/>
    </row>
    <row r="160" spans="1:23" ht="12" hidden="1" customHeight="1">
      <c r="A160" s="1435" t="s">
        <v>131</v>
      </c>
      <c r="B160" s="1436"/>
      <c r="C160" s="1436"/>
      <c r="D160" s="1437"/>
      <c r="E160" s="1529" t="str">
        <f>IF('3) Aspen Impedances'!C126&lt;&gt;"",'3) Aspen Impedances'!C126,"")</f>
        <v/>
      </c>
      <c r="F160" s="1530"/>
      <c r="G160" s="1454"/>
      <c r="H160" s="1455"/>
      <c r="I160" s="1454"/>
      <c r="J160" s="1461"/>
      <c r="K160" s="1461"/>
      <c r="L160" s="1461"/>
      <c r="M160" s="1461"/>
      <c r="N160" s="1461"/>
      <c r="O160" s="1461"/>
      <c r="P160" s="1455"/>
      <c r="Q160" s="1454" t="str">
        <f>IF(E161="","",IF('5) Infeed'!R47=0,"Must Complete Infeed Calculation",""))</f>
        <v/>
      </c>
      <c r="R160" s="1461"/>
      <c r="S160" s="1461"/>
      <c r="T160" s="1461"/>
      <c r="U160" s="1461"/>
      <c r="V160" s="1461"/>
      <c r="W160" s="1520"/>
    </row>
    <row r="161" spans="1:27" ht="12" hidden="1" customHeight="1">
      <c r="A161" s="1435" t="s">
        <v>121</v>
      </c>
      <c r="B161" s="1436"/>
      <c r="C161" s="1436"/>
      <c r="D161" s="1437"/>
      <c r="E161" s="1529" t="str">
        <f>IF('3) Aspen Impedances'!C126&lt;&gt;"",'3) Aspen Impedances'!D126,"")</f>
        <v/>
      </c>
      <c r="F161" s="1530"/>
      <c r="G161" s="1345"/>
      <c r="H161" s="1346"/>
      <c r="I161" s="1454"/>
      <c r="J161" s="1461"/>
      <c r="K161" s="1461"/>
      <c r="L161" s="1461"/>
      <c r="M161" s="1461"/>
      <c r="N161" s="1461"/>
      <c r="O161" s="1461"/>
      <c r="P161" s="1455"/>
      <c r="Q161" s="1454" t="str">
        <f>IF(E160="","","Fill out impedance to "&amp;E160&amp;" on Aspen Imp. tab")</f>
        <v/>
      </c>
      <c r="R161" s="1461"/>
      <c r="S161" s="1461"/>
      <c r="T161" s="1461"/>
      <c r="U161" s="1461"/>
      <c r="V161" s="1461"/>
      <c r="W161" s="1520"/>
    </row>
    <row r="162" spans="1:27" ht="12" hidden="1" customHeight="1">
      <c r="A162" s="1533" t="s">
        <v>123</v>
      </c>
      <c r="B162" s="1534"/>
      <c r="C162" s="1534"/>
      <c r="D162" s="1535"/>
      <c r="E162" s="1529" t="str">
        <f>IF('3) Aspen Impedances'!C126&lt;&gt;"",'3) Aspen Impedances'!E126*100,"")</f>
        <v/>
      </c>
      <c r="F162" s="1530"/>
      <c r="G162" s="1456" t="s">
        <v>100</v>
      </c>
      <c r="H162" s="1456"/>
      <c r="I162" s="1454"/>
      <c r="J162" s="1461"/>
      <c r="K162" s="1461"/>
      <c r="L162" s="1461"/>
      <c r="M162" s="1461"/>
      <c r="N162" s="1461"/>
      <c r="O162" s="1461"/>
      <c r="P162" s="1455"/>
      <c r="Q162" s="1454" t="str">
        <f>IF(E162="","","Error = "&amp;ROUND(100*ABS('3) Aspen Impedances'!$E$126/(E162/100)-1),2)&amp;"%"&amp;IF(ABS('3) Aspen Impedances'!$E$126/(E162/100)-1)&gt;0.03,", Impdance Does Not Match Aspen",""))</f>
        <v/>
      </c>
      <c r="R162" s="1461"/>
      <c r="S162" s="1461"/>
      <c r="T162" s="1461"/>
      <c r="U162" s="1461"/>
      <c r="V162" s="1461"/>
      <c r="W162" s="1520"/>
    </row>
    <row r="163" spans="1:27" ht="12" hidden="1" customHeight="1">
      <c r="A163" s="1435" t="s">
        <v>124</v>
      </c>
      <c r="B163" s="1436"/>
      <c r="C163" s="1436"/>
      <c r="D163" s="1437"/>
      <c r="E163" s="1529" t="str">
        <f>IF('3) Aspen Impedances'!C126&lt;&gt;"",'3) Aspen Impedances'!F126*100,"")</f>
        <v/>
      </c>
      <c r="F163" s="1530"/>
      <c r="G163" s="1456" t="s">
        <v>100</v>
      </c>
      <c r="H163" s="1456"/>
      <c r="I163" s="1454"/>
      <c r="J163" s="1461"/>
      <c r="K163" s="1461"/>
      <c r="L163" s="1461"/>
      <c r="M163" s="1461"/>
      <c r="N163" s="1461"/>
      <c r="O163" s="1461"/>
      <c r="P163" s="1455"/>
      <c r="Q163" s="1454" t="str">
        <f>IF(E163="","","Error = "&amp;ROUND(100*ABS('3) Aspen Impedances'!$F$126/(E163/100)-1),2)&amp;"%"&amp;IF(ABS('3) Aspen Impedances'!$F$126/(E163/100)-1)&gt;0.03,", Impdance Does Not Match Aspen",""))</f>
        <v/>
      </c>
      <c r="R163" s="1461"/>
      <c r="S163" s="1461"/>
      <c r="T163" s="1461"/>
      <c r="U163" s="1461"/>
      <c r="V163" s="1461"/>
      <c r="W163" s="1520"/>
    </row>
    <row r="164" spans="1:27" ht="12" hidden="1" customHeight="1">
      <c r="A164" s="1435" t="s">
        <v>125</v>
      </c>
      <c r="B164" s="1436"/>
      <c r="C164" s="1436"/>
      <c r="D164" s="1437"/>
      <c r="E164" s="1529" t="str">
        <f>IF('3) Aspen Impedances'!C126&lt;&gt;"",'3) Aspen Impedances'!G126*100,"")</f>
        <v/>
      </c>
      <c r="F164" s="1530"/>
      <c r="G164" s="1456" t="s">
        <v>100</v>
      </c>
      <c r="H164" s="1456"/>
      <c r="I164" s="1454"/>
      <c r="J164" s="1461"/>
      <c r="K164" s="1461"/>
      <c r="L164" s="1461"/>
      <c r="M164" s="1461"/>
      <c r="N164" s="1461"/>
      <c r="O164" s="1461"/>
      <c r="P164" s="1455"/>
      <c r="Q164" s="1454" t="str">
        <f>IF(E164="","","Error = "&amp;ROUND(100*ABS('3) Aspen Impedances'!$G$126/(E164/100)-1),2)&amp;"%"&amp;IF(ABS('3) Aspen Impedances'!$G$126/(E164/100)-1)&gt;0.03,", Impdance Does Not Match Aspen",""))</f>
        <v/>
      </c>
      <c r="R164" s="1461"/>
      <c r="S164" s="1461"/>
      <c r="T164" s="1461"/>
      <c r="U164" s="1461"/>
      <c r="V164" s="1461"/>
      <c r="W164" s="1520"/>
    </row>
    <row r="165" spans="1:27" ht="12" hidden="1" customHeight="1">
      <c r="A165" s="1435" t="s">
        <v>126</v>
      </c>
      <c r="B165" s="1436"/>
      <c r="C165" s="1436"/>
      <c r="D165" s="1437"/>
      <c r="E165" s="1529" t="str">
        <f>IF('3) Aspen Impedances'!C126&lt;&gt;"",'3) Aspen Impedances'!H126*100,"")</f>
        <v/>
      </c>
      <c r="F165" s="1530"/>
      <c r="G165" s="1456" t="s">
        <v>100</v>
      </c>
      <c r="H165" s="1456"/>
      <c r="I165" s="1454"/>
      <c r="J165" s="1461"/>
      <c r="K165" s="1461"/>
      <c r="L165" s="1461"/>
      <c r="M165" s="1461"/>
      <c r="N165" s="1461"/>
      <c r="O165" s="1461"/>
      <c r="P165" s="1455"/>
      <c r="Q165" s="1454" t="str">
        <f>IF(E165="","","Error = "&amp;ROUND(100*ABS('3) Aspen Impedances'!$H$126/(E165/100)-1),2)&amp;"%"&amp;IF(ABS('3) Aspen Impedances'!$H$126/(E165/100)-1)&gt;0.03,", Impdance Does Not Match Aspen",""))</f>
        <v/>
      </c>
      <c r="R165" s="1461"/>
      <c r="S165" s="1461"/>
      <c r="T165" s="1461"/>
      <c r="U165" s="1461"/>
      <c r="V165" s="1461"/>
      <c r="W165" s="1520"/>
    </row>
    <row r="166" spans="1:27" ht="12" hidden="1" customHeight="1">
      <c r="A166" s="1536" t="s">
        <v>104</v>
      </c>
      <c r="B166" s="1433"/>
      <c r="C166" s="1433"/>
      <c r="D166" s="1501"/>
      <c r="E166" s="1543" t="str">
        <f>IF('3) Aspen Impedances'!C126&lt;&gt;"",'3) Aspen Impedances'!I126,"")</f>
        <v/>
      </c>
      <c r="F166" s="1544"/>
      <c r="G166" s="1454" t="s">
        <v>105</v>
      </c>
      <c r="H166" s="1455"/>
      <c r="I166" s="1454"/>
      <c r="J166" s="1461"/>
      <c r="K166" s="1461"/>
      <c r="L166" s="1461"/>
      <c r="M166" s="1461"/>
      <c r="N166" s="1461"/>
      <c r="O166" s="1461"/>
      <c r="P166" s="1455"/>
      <c r="Q166" s="1454" t="str">
        <f>IF(E166="","","Error = "&amp;ROUND(100*ABS('3) Aspen Impedances'!$I$126/(E166)-1),2)&amp;"%"&amp;IF(ABS('3) Aspen Impedances'!I126/E166-1)&gt;0.03,", Line Length Does Not Match Aspen",""))</f>
        <v/>
      </c>
      <c r="R166" s="1461"/>
      <c r="S166" s="1461"/>
      <c r="T166" s="1461"/>
      <c r="U166" s="1461"/>
      <c r="V166" s="1461"/>
      <c r="W166" s="1520"/>
    </row>
    <row r="167" spans="1:27" ht="12" hidden="1" customHeight="1">
      <c r="A167" s="1435"/>
      <c r="B167" s="1436"/>
      <c r="C167" s="1436"/>
      <c r="D167" s="1437"/>
      <c r="E167" s="1545"/>
      <c r="F167" s="1545"/>
      <c r="G167" s="1470"/>
      <c r="H167" s="1471"/>
      <c r="I167" s="1505"/>
      <c r="J167" s="1459"/>
      <c r="K167" s="1459"/>
      <c r="L167" s="1459"/>
      <c r="M167" s="1459"/>
      <c r="N167" s="1459"/>
      <c r="O167" s="1459"/>
      <c r="P167" s="1460"/>
      <c r="Q167" s="1505"/>
      <c r="R167" s="1459"/>
      <c r="S167" s="1459"/>
      <c r="T167" s="1459"/>
      <c r="U167" s="1459"/>
      <c r="V167" s="1459"/>
      <c r="W167" s="1506"/>
    </row>
    <row r="168" spans="1:27" ht="12" hidden="1" customHeight="1">
      <c r="A168" s="1435" t="s">
        <v>132</v>
      </c>
      <c r="B168" s="1436"/>
      <c r="C168" s="1436"/>
      <c r="D168" s="1437"/>
      <c r="E168" s="1529" t="str">
        <f>IF('3) Aspen Impedances'!C134&lt;&gt;"",'3) Aspen Impedances'!C134,"")</f>
        <v/>
      </c>
      <c r="F168" s="1530"/>
      <c r="G168" s="1454"/>
      <c r="H168" s="1455"/>
      <c r="I168" s="1454"/>
      <c r="J168" s="1461"/>
      <c r="K168" s="1461"/>
      <c r="L168" s="1461"/>
      <c r="M168" s="1461"/>
      <c r="N168" s="1461"/>
      <c r="O168" s="1461"/>
      <c r="P168" s="1455"/>
      <c r="Q168" s="1454" t="str">
        <f>IF(E169="","",IF('5) Infeed'!R48=0,"Must Complete Infeed Calculation",""))</f>
        <v/>
      </c>
      <c r="R168" s="1461"/>
      <c r="S168" s="1461"/>
      <c r="T168" s="1461"/>
      <c r="U168" s="1461"/>
      <c r="V168" s="1461"/>
      <c r="W168" s="1520"/>
    </row>
    <row r="169" spans="1:27" ht="12" hidden="1" customHeight="1">
      <c r="A169" s="1435" t="s">
        <v>121</v>
      </c>
      <c r="B169" s="1436"/>
      <c r="C169" s="1436"/>
      <c r="D169" s="1437"/>
      <c r="E169" s="1529" t="str">
        <f>IF('3) Aspen Impedances'!C134&lt;&gt;"",'3) Aspen Impedances'!D134,"")</f>
        <v/>
      </c>
      <c r="F169" s="1530"/>
      <c r="G169" s="1345"/>
      <c r="H169" s="1346"/>
      <c r="I169" s="1454"/>
      <c r="J169" s="1461"/>
      <c r="K169" s="1461"/>
      <c r="L169" s="1461"/>
      <c r="M169" s="1461"/>
      <c r="N169" s="1461"/>
      <c r="O169" s="1461"/>
      <c r="P169" s="1455"/>
      <c r="Q169" s="1454" t="str">
        <f>IF(E168="","","Fill out impedance to "&amp;E168&amp;" on Aspen Imp. tab")</f>
        <v/>
      </c>
      <c r="R169" s="1461"/>
      <c r="S169" s="1461"/>
      <c r="T169" s="1461"/>
      <c r="U169" s="1461"/>
      <c r="V169" s="1461"/>
      <c r="W169" s="1520"/>
    </row>
    <row r="170" spans="1:27" ht="12" hidden="1" customHeight="1">
      <c r="A170" s="1533" t="s">
        <v>123</v>
      </c>
      <c r="B170" s="1534"/>
      <c r="C170" s="1534"/>
      <c r="D170" s="1535"/>
      <c r="E170" s="1529" t="str">
        <f>IF('3) Aspen Impedances'!C134&lt;&gt;"",'3) Aspen Impedances'!E134*100,"")</f>
        <v/>
      </c>
      <c r="F170" s="1530"/>
      <c r="G170" s="1456" t="s">
        <v>100</v>
      </c>
      <c r="H170" s="1456"/>
      <c r="I170" s="1454"/>
      <c r="J170" s="1461"/>
      <c r="K170" s="1461"/>
      <c r="L170" s="1461"/>
      <c r="M170" s="1461"/>
      <c r="N170" s="1461"/>
      <c r="O170" s="1461"/>
      <c r="P170" s="1455"/>
      <c r="Q170" s="1454" t="str">
        <f>IF(E170="","","Error = "&amp;ROUND(100*ABS('3) Aspen Impedances'!$E$134/(E170/100)-1),2)&amp;"%"&amp;IF(ABS('3) Aspen Impedances'!$E$134/(E170/100)-1)&gt;0.03,", Impdance Does Not Match Aspen",""))</f>
        <v/>
      </c>
      <c r="R170" s="1461"/>
      <c r="S170" s="1461"/>
      <c r="T170" s="1461"/>
      <c r="U170" s="1461"/>
      <c r="V170" s="1461"/>
      <c r="W170" s="1520"/>
    </row>
    <row r="171" spans="1:27" ht="12" hidden="1" customHeight="1">
      <c r="A171" s="1435" t="s">
        <v>124</v>
      </c>
      <c r="B171" s="1436"/>
      <c r="C171" s="1436"/>
      <c r="D171" s="1437"/>
      <c r="E171" s="1529" t="str">
        <f>IF('3) Aspen Impedances'!C134&lt;&gt;"",'3) Aspen Impedances'!F134*100,"")</f>
        <v/>
      </c>
      <c r="F171" s="1530"/>
      <c r="G171" s="1456" t="s">
        <v>100</v>
      </c>
      <c r="H171" s="1456"/>
      <c r="I171" s="1454"/>
      <c r="J171" s="1461"/>
      <c r="K171" s="1461"/>
      <c r="L171" s="1461"/>
      <c r="M171" s="1461"/>
      <c r="N171" s="1461"/>
      <c r="O171" s="1461"/>
      <c r="P171" s="1455"/>
      <c r="Q171" s="1454" t="str">
        <f>IF(E171="","","Error = "&amp;ROUND(100*ABS('3) Aspen Impedances'!$F$134/(E171/100)-1),2)&amp;"%"&amp;IF(ABS('3) Aspen Impedances'!$F$134/(E171/100)-1)&gt;0.03,", Impdance Does Not Match Aspen",""))</f>
        <v/>
      </c>
      <c r="R171" s="1461"/>
      <c r="S171" s="1461"/>
      <c r="T171" s="1461"/>
      <c r="U171" s="1461"/>
      <c r="V171" s="1461"/>
      <c r="W171" s="1520"/>
    </row>
    <row r="172" spans="1:27" ht="12" hidden="1" customHeight="1">
      <c r="A172" s="1435" t="s">
        <v>125</v>
      </c>
      <c r="B172" s="1436"/>
      <c r="C172" s="1436"/>
      <c r="D172" s="1437"/>
      <c r="E172" s="1529" t="str">
        <f>IF('3) Aspen Impedances'!C134&lt;&gt;"",'3) Aspen Impedances'!G134*100,"")</f>
        <v/>
      </c>
      <c r="F172" s="1530"/>
      <c r="G172" s="1456" t="s">
        <v>100</v>
      </c>
      <c r="H172" s="1456"/>
      <c r="I172" s="1454"/>
      <c r="J172" s="1461"/>
      <c r="K172" s="1461"/>
      <c r="L172" s="1461"/>
      <c r="M172" s="1461"/>
      <c r="N172" s="1461"/>
      <c r="O172" s="1461"/>
      <c r="P172" s="1455"/>
      <c r="Q172" s="1454" t="str">
        <f>IF(E172="","","Error = "&amp;ROUND(100*ABS('3) Aspen Impedances'!$G$134/(E172/100)-1),2)&amp;"%"&amp;IF(ABS('3) Aspen Impedances'!$G$134/(E172/100)-1)&gt;0.03,", Impdance Does Not Match Aspen",""))</f>
        <v/>
      </c>
      <c r="R172" s="1461"/>
      <c r="S172" s="1461"/>
      <c r="T172" s="1461"/>
      <c r="U172" s="1461"/>
      <c r="V172" s="1461"/>
      <c r="W172" s="1520"/>
    </row>
    <row r="173" spans="1:27" ht="12" hidden="1" customHeight="1">
      <c r="A173" s="1435" t="s">
        <v>126</v>
      </c>
      <c r="B173" s="1436"/>
      <c r="C173" s="1436"/>
      <c r="D173" s="1437"/>
      <c r="E173" s="1529" t="str">
        <f>IF('3) Aspen Impedances'!C134&lt;&gt;"",'3) Aspen Impedances'!H134*100,"")</f>
        <v/>
      </c>
      <c r="F173" s="1530"/>
      <c r="G173" s="1456" t="s">
        <v>100</v>
      </c>
      <c r="H173" s="1456"/>
      <c r="I173" s="1454"/>
      <c r="J173" s="1461"/>
      <c r="K173" s="1461"/>
      <c r="L173" s="1461"/>
      <c r="M173" s="1461"/>
      <c r="N173" s="1461"/>
      <c r="O173" s="1461"/>
      <c r="P173" s="1455"/>
      <c r="Q173" s="1454" t="str">
        <f>IF(E173="","","Error = "&amp;ROUND(100*ABS('3) Aspen Impedances'!$H$134/(E173/100)-1),2)&amp;"%"&amp;IF(ABS('3) Aspen Impedances'!$H$134/(E173/100)-1)&gt;0.03,", Impdance Does Not Match Aspen",""))</f>
        <v/>
      </c>
      <c r="R173" s="1461"/>
      <c r="S173" s="1461"/>
      <c r="T173" s="1461"/>
      <c r="U173" s="1461"/>
      <c r="V173" s="1461"/>
      <c r="W173" s="1520"/>
      <c r="X173" s="1602"/>
      <c r="Y173" s="1602"/>
      <c r="Z173" s="1602"/>
      <c r="AA173" s="1602"/>
    </row>
    <row r="174" spans="1:27" ht="12" hidden="1" customHeight="1">
      <c r="A174" s="1536" t="s">
        <v>104</v>
      </c>
      <c r="B174" s="1433"/>
      <c r="C174" s="1433"/>
      <c r="D174" s="1501"/>
      <c r="E174" s="1543" t="str">
        <f>IF('3) Aspen Impedances'!C134&lt;&gt;"",'3) Aspen Impedances'!I134,"")</f>
        <v/>
      </c>
      <c r="F174" s="1544"/>
      <c r="G174" s="1454" t="s">
        <v>105</v>
      </c>
      <c r="H174" s="1455"/>
      <c r="I174" s="1454"/>
      <c r="J174" s="1461"/>
      <c r="K174" s="1461"/>
      <c r="L174" s="1461"/>
      <c r="M174" s="1461"/>
      <c r="N174" s="1461"/>
      <c r="O174" s="1461"/>
      <c r="P174" s="1455"/>
      <c r="Q174" s="1454" t="str">
        <f>IF(E174="","","Error = "&amp;ROUND(100*ABS('3) Aspen Impedances'!$I$134/(E174)-1),2)&amp;"%"&amp;IF(ABS('3) Aspen Impedances'!I134/E174-1)&gt;0.03,", Line Length Does Not Match Aspen",""))</f>
        <v/>
      </c>
      <c r="R174" s="1461"/>
      <c r="S174" s="1461"/>
      <c r="T174" s="1461"/>
      <c r="U174" s="1461"/>
      <c r="V174" s="1461"/>
      <c r="W174" s="1520"/>
    </row>
    <row r="175" spans="1:27" ht="12" hidden="1" customHeight="1">
      <c r="A175" s="1435"/>
      <c r="B175" s="1436"/>
      <c r="C175" s="1436"/>
      <c r="D175" s="1437"/>
      <c r="E175" s="1545"/>
      <c r="F175" s="1545"/>
      <c r="G175" s="1470"/>
      <c r="H175" s="1471"/>
      <c r="I175" s="1505"/>
      <c r="J175" s="1459"/>
      <c r="K175" s="1459"/>
      <c r="L175" s="1459"/>
      <c r="M175" s="1459"/>
      <c r="N175" s="1459"/>
      <c r="O175" s="1459"/>
      <c r="P175" s="1460"/>
      <c r="Q175" s="1505"/>
      <c r="R175" s="1459"/>
      <c r="S175" s="1459"/>
      <c r="T175" s="1459"/>
      <c r="U175" s="1459"/>
      <c r="V175" s="1459"/>
      <c r="W175" s="1506"/>
    </row>
    <row r="176" spans="1:27" ht="12" hidden="1" customHeight="1">
      <c r="A176" s="1435" t="s">
        <v>133</v>
      </c>
      <c r="B176" s="1436"/>
      <c r="C176" s="1436"/>
      <c r="D176" s="1437"/>
      <c r="E176" s="1529" t="str">
        <f>IF('3) Aspen Impedances'!C142&lt;&gt;"",'3) Aspen Impedances'!C142,"")</f>
        <v/>
      </c>
      <c r="F176" s="1530"/>
      <c r="G176" s="1454"/>
      <c r="H176" s="1455"/>
      <c r="I176" s="1454"/>
      <c r="J176" s="1461"/>
      <c r="K176" s="1461"/>
      <c r="L176" s="1461"/>
      <c r="M176" s="1461"/>
      <c r="N176" s="1461"/>
      <c r="O176" s="1461"/>
      <c r="P176" s="1455"/>
      <c r="Q176" s="1454" t="str">
        <f>IF(E177="","",IF('5) Infeed'!R49=0,"Must Complete Infeed Calculation",""))</f>
        <v/>
      </c>
      <c r="R176" s="1461"/>
      <c r="S176" s="1461"/>
      <c r="T176" s="1461"/>
      <c r="U176" s="1461"/>
      <c r="V176" s="1461"/>
      <c r="W176" s="1520"/>
    </row>
    <row r="177" spans="1:23" ht="12" hidden="1" customHeight="1">
      <c r="A177" s="1435" t="s">
        <v>121</v>
      </c>
      <c r="B177" s="1436"/>
      <c r="C177" s="1436"/>
      <c r="D177" s="1437"/>
      <c r="E177" s="1529" t="str">
        <f>IF('3) Aspen Impedances'!C142&lt;&gt;"",'3) Aspen Impedances'!D142,"")</f>
        <v/>
      </c>
      <c r="F177" s="1530"/>
      <c r="G177" s="1345"/>
      <c r="H177" s="1346"/>
      <c r="I177" s="1454"/>
      <c r="J177" s="1461"/>
      <c r="K177" s="1461"/>
      <c r="L177" s="1461"/>
      <c r="M177" s="1461"/>
      <c r="N177" s="1461"/>
      <c r="O177" s="1461"/>
      <c r="P177" s="1455"/>
      <c r="Q177" s="1454" t="str">
        <f>IF(E176="","","Fill out impedance to "&amp;E176&amp;" on Aspen Imp. tab")</f>
        <v/>
      </c>
      <c r="R177" s="1461"/>
      <c r="S177" s="1461"/>
      <c r="T177" s="1461"/>
      <c r="U177" s="1461"/>
      <c r="V177" s="1461"/>
      <c r="W177" s="1520"/>
    </row>
    <row r="178" spans="1:23" ht="12" hidden="1" customHeight="1">
      <c r="A178" s="1533" t="s">
        <v>123</v>
      </c>
      <c r="B178" s="1534"/>
      <c r="C178" s="1534"/>
      <c r="D178" s="1535"/>
      <c r="E178" s="1529" t="str">
        <f>IF('3) Aspen Impedances'!C142&lt;&gt;"",'3) Aspen Impedances'!E142*100,"")</f>
        <v/>
      </c>
      <c r="F178" s="1530"/>
      <c r="G178" s="1456" t="s">
        <v>100</v>
      </c>
      <c r="H178" s="1456"/>
      <c r="I178" s="1454"/>
      <c r="J178" s="1461"/>
      <c r="K178" s="1461"/>
      <c r="L178" s="1461"/>
      <c r="M178" s="1461"/>
      <c r="N178" s="1461"/>
      <c r="O178" s="1461"/>
      <c r="P178" s="1455"/>
      <c r="Q178" s="1454" t="str">
        <f>IF(E178="","","Error = "&amp;ROUND(100*ABS('3) Aspen Impedances'!$E$142/(E178/100)-1),2)&amp;"%"&amp;IF(ABS('3) Aspen Impedances'!$E$142/(E178/100)-1)&gt;0.03,", Impdance Does Not Match Aspen",""))</f>
        <v/>
      </c>
      <c r="R178" s="1461"/>
      <c r="S178" s="1461"/>
      <c r="T178" s="1461"/>
      <c r="U178" s="1461"/>
      <c r="V178" s="1461"/>
      <c r="W178" s="1520"/>
    </row>
    <row r="179" spans="1:23" ht="12" hidden="1" customHeight="1">
      <c r="A179" s="1435" t="s">
        <v>124</v>
      </c>
      <c r="B179" s="1436"/>
      <c r="C179" s="1436"/>
      <c r="D179" s="1437"/>
      <c r="E179" s="1529" t="str">
        <f>IF('3) Aspen Impedances'!C142&lt;&gt;"",'3) Aspen Impedances'!F142*100,"")</f>
        <v/>
      </c>
      <c r="F179" s="1530"/>
      <c r="G179" s="1456" t="s">
        <v>100</v>
      </c>
      <c r="H179" s="1456"/>
      <c r="I179" s="1454"/>
      <c r="J179" s="1461"/>
      <c r="K179" s="1461"/>
      <c r="L179" s="1461"/>
      <c r="M179" s="1461"/>
      <c r="N179" s="1461"/>
      <c r="O179" s="1461"/>
      <c r="P179" s="1455"/>
      <c r="Q179" s="1454" t="str">
        <f>IF(E179="","","Error = "&amp;ROUND(100*ABS('3) Aspen Impedances'!$F$142/(E179/100)-1),2)&amp;"%"&amp;IF(ABS('3) Aspen Impedances'!$F$142/(E179/100)-1)&gt;0.03,", Impdance Does Not Match Aspen",""))</f>
        <v/>
      </c>
      <c r="R179" s="1461"/>
      <c r="S179" s="1461"/>
      <c r="T179" s="1461"/>
      <c r="U179" s="1461"/>
      <c r="V179" s="1461"/>
      <c r="W179" s="1520"/>
    </row>
    <row r="180" spans="1:23" ht="12" hidden="1" customHeight="1">
      <c r="A180" s="1435" t="s">
        <v>125</v>
      </c>
      <c r="B180" s="1436"/>
      <c r="C180" s="1436"/>
      <c r="D180" s="1437"/>
      <c r="E180" s="1529" t="str">
        <f>IF('3) Aspen Impedances'!C142&lt;&gt;"",'3) Aspen Impedances'!G142*100,"")</f>
        <v/>
      </c>
      <c r="F180" s="1530"/>
      <c r="G180" s="1456" t="s">
        <v>100</v>
      </c>
      <c r="H180" s="1456"/>
      <c r="I180" s="1454"/>
      <c r="J180" s="1461"/>
      <c r="K180" s="1461"/>
      <c r="L180" s="1461"/>
      <c r="M180" s="1461"/>
      <c r="N180" s="1461"/>
      <c r="O180" s="1461"/>
      <c r="P180" s="1455"/>
      <c r="Q180" s="1454" t="str">
        <f>IF(E180="","","Error = "&amp;ROUND(100*ABS('3) Aspen Impedances'!$G$142/(E180/100)-1),2)&amp;"%"&amp;IF(ABS('3) Aspen Impedances'!$G$142/(E180/100)-1)&gt;0.03,", Impdance Does Not Match Aspen",""))</f>
        <v/>
      </c>
      <c r="R180" s="1461"/>
      <c r="S180" s="1461"/>
      <c r="T180" s="1461"/>
      <c r="U180" s="1461"/>
      <c r="V180" s="1461"/>
      <c r="W180" s="1520"/>
    </row>
    <row r="181" spans="1:23" ht="12" hidden="1" customHeight="1">
      <c r="A181" s="1435" t="s">
        <v>126</v>
      </c>
      <c r="B181" s="1436"/>
      <c r="C181" s="1436"/>
      <c r="D181" s="1437"/>
      <c r="E181" s="1529" t="str">
        <f>IF('3) Aspen Impedances'!C142&lt;&gt;"",'3) Aspen Impedances'!H142*100,"")</f>
        <v/>
      </c>
      <c r="F181" s="1530"/>
      <c r="G181" s="1456" t="s">
        <v>100</v>
      </c>
      <c r="H181" s="1456"/>
      <c r="I181" s="1454"/>
      <c r="J181" s="1461"/>
      <c r="K181" s="1461"/>
      <c r="L181" s="1461"/>
      <c r="M181" s="1461"/>
      <c r="N181" s="1461"/>
      <c r="O181" s="1461"/>
      <c r="P181" s="1455"/>
      <c r="Q181" s="1454" t="str">
        <f>IF(E181="","","Error = "&amp;ROUND(100*ABS('3) Aspen Impedances'!$H$142/(E181/100)-1),2)&amp;"%"&amp;IF(ABS('3) Aspen Impedances'!$H$142/(E181/100)-1)&gt;0.03,", Impdance Does Not Match Aspen",""))</f>
        <v/>
      </c>
      <c r="R181" s="1461"/>
      <c r="S181" s="1461"/>
      <c r="T181" s="1461"/>
      <c r="U181" s="1461"/>
      <c r="V181" s="1461"/>
      <c r="W181" s="1520"/>
    </row>
    <row r="182" spans="1:23" ht="12" hidden="1" customHeight="1" thickBot="1">
      <c r="A182" s="1540" t="s">
        <v>104</v>
      </c>
      <c r="B182" s="1494"/>
      <c r="C182" s="1494"/>
      <c r="D182" s="1541"/>
      <c r="E182" s="1531" t="str">
        <f>IF('3) Aspen Impedances'!C142&lt;&gt;"",'3) Aspen Impedances'!I142,"")</f>
        <v/>
      </c>
      <c r="F182" s="1532"/>
      <c r="G182" s="1477" t="s">
        <v>105</v>
      </c>
      <c r="H182" s="1478"/>
      <c r="I182" s="1477"/>
      <c r="J182" s="1517"/>
      <c r="K182" s="1517"/>
      <c r="L182" s="1517"/>
      <c r="M182" s="1517"/>
      <c r="N182" s="1517"/>
      <c r="O182" s="1517"/>
      <c r="P182" s="1478"/>
      <c r="Q182" s="1477" t="str">
        <f>IF(E182="","","Error = "&amp;ROUND(100*ABS('3) Aspen Impedances'!$I$142/(E182)-1),2)&amp;"%"&amp;IF(ABS('3) Aspen Impedances'!I142/E182-1)&gt;0.03,", Line Length Does Not Match Aspen",""))</f>
        <v/>
      </c>
      <c r="R182" s="1517"/>
      <c r="S182" s="1517"/>
      <c r="T182" s="1517"/>
      <c r="U182" s="1517"/>
      <c r="V182" s="1517"/>
      <c r="W182" s="1518"/>
    </row>
    <row r="183" spans="1:23" ht="12" hidden="1" customHeight="1">
      <c r="E183" s="71"/>
      <c r="G183" s="71"/>
      <c r="I183" s="71"/>
      <c r="J183"/>
      <c r="K183" s="71"/>
      <c r="O183" s="1519"/>
      <c r="P183" s="1519"/>
      <c r="Q183" s="1519"/>
      <c r="R183" s="1519"/>
      <c r="S183" s="1519"/>
      <c r="T183" s="1519"/>
      <c r="U183" s="1519"/>
    </row>
    <row r="184" spans="1:23" ht="12" hidden="1" customHeight="1" thickBot="1">
      <c r="A184" s="1138"/>
      <c r="B184" s="1138"/>
      <c r="C184" s="1138"/>
      <c r="D184" s="1138"/>
      <c r="E184" s="1138"/>
      <c r="F184" s="1138"/>
      <c r="G184" s="1138"/>
      <c r="H184" s="1138"/>
      <c r="I184" s="1138"/>
      <c r="J184" s="1138"/>
      <c r="K184" s="1515"/>
      <c r="L184" s="1515"/>
      <c r="M184" s="1515"/>
      <c r="N184" s="1515"/>
      <c r="O184" s="1515"/>
      <c r="P184" s="1515"/>
      <c r="Q184" s="1515"/>
      <c r="S184" s="116"/>
      <c r="T184" s="77"/>
      <c r="U184" s="1129"/>
    </row>
    <row r="185" spans="1:23" ht="18.75" hidden="1" customHeight="1" thickBot="1">
      <c r="A185" s="1524" t="s">
        <v>134</v>
      </c>
      <c r="B185" s="1525"/>
      <c r="C185" s="1525"/>
      <c r="D185" s="1525"/>
      <c r="E185" s="1525"/>
      <c r="F185" s="1525"/>
      <c r="G185" s="1525"/>
      <c r="H185" s="1525"/>
      <c r="I185" s="1525"/>
      <c r="J185" s="1525"/>
      <c r="K185" s="1525"/>
      <c r="L185" s="1525"/>
      <c r="M185" s="1525"/>
      <c r="N185" s="1525"/>
      <c r="O185" s="1525"/>
      <c r="P185" s="1525"/>
      <c r="Q185" s="1525"/>
      <c r="R185" s="1525"/>
      <c r="S185" s="1525"/>
      <c r="T185" s="1525"/>
      <c r="U185" s="1525"/>
      <c r="V185" s="1525"/>
      <c r="W185" s="1526"/>
    </row>
    <row r="186" spans="1:23" ht="39.75" hidden="1" customHeight="1" thickBot="1">
      <c r="A186" s="1697" t="s">
        <v>135</v>
      </c>
      <c r="B186" s="1698"/>
      <c r="C186" s="1698"/>
      <c r="D186" s="1698"/>
      <c r="E186" s="1698"/>
      <c r="F186" s="1698"/>
      <c r="G186" s="1698"/>
      <c r="H186" s="1698"/>
      <c r="I186" s="1698"/>
      <c r="J186" s="1698"/>
      <c r="K186" s="1698"/>
      <c r="L186" s="1698"/>
      <c r="M186" s="1698"/>
      <c r="N186" s="1698"/>
      <c r="O186" s="1698"/>
      <c r="P186" s="1698"/>
      <c r="Q186" s="1698"/>
      <c r="R186" s="1698"/>
      <c r="S186" s="1698"/>
      <c r="T186" s="1698"/>
      <c r="U186" s="1698"/>
      <c r="V186" s="1698"/>
      <c r="W186" s="1699"/>
    </row>
    <row r="187" spans="1:23" ht="15.75" hidden="1" customHeight="1" thickBot="1">
      <c r="A187" s="1510" t="s">
        <v>26</v>
      </c>
      <c r="B187" s="1511"/>
      <c r="C187" s="1511"/>
      <c r="D187" s="1511"/>
      <c r="E187" s="1510" t="s">
        <v>27</v>
      </c>
      <c r="F187" s="1511"/>
      <c r="G187" s="1511"/>
      <c r="H187" s="1511"/>
      <c r="I187" s="1351" t="s">
        <v>136</v>
      </c>
      <c r="J187" s="1352"/>
      <c r="K187" s="1353"/>
      <c r="L187" s="1527" t="s">
        <v>137</v>
      </c>
      <c r="M187" s="1527"/>
      <c r="N187" s="1527"/>
      <c r="O187" s="1527"/>
      <c r="P187" s="1528"/>
      <c r="Q187" s="1510"/>
      <c r="R187" s="1511"/>
      <c r="S187" s="1511"/>
      <c r="T187" s="1511"/>
      <c r="U187" s="1511"/>
      <c r="V187" s="1511"/>
      <c r="W187" s="1512"/>
    </row>
    <row r="188" spans="1:23" ht="12.75" hidden="1" customHeight="1">
      <c r="A188" s="1513" t="s">
        <v>138</v>
      </c>
      <c r="B188" s="1514"/>
      <c r="C188" s="1514"/>
      <c r="D188" s="1514"/>
      <c r="E188" s="1521"/>
      <c r="F188" s="1521"/>
      <c r="G188" s="1359" t="s">
        <v>80</v>
      </c>
      <c r="H188" s="1360"/>
      <c r="I188" s="1139"/>
      <c r="J188" s="1140"/>
      <c r="K188" s="1140"/>
      <c r="L188" s="1141"/>
      <c r="M188" s="1142"/>
      <c r="N188" s="1140"/>
      <c r="O188" s="1140"/>
      <c r="P188" s="1143"/>
      <c r="Q188" s="1502"/>
      <c r="R188" s="1503"/>
      <c r="S188" s="1503"/>
      <c r="T188" s="1503"/>
      <c r="U188" s="1503"/>
      <c r="V188" s="1503"/>
      <c r="W188" s="1504"/>
    </row>
    <row r="189" spans="1:23" ht="12.75" hidden="1" customHeight="1">
      <c r="A189" s="1430" t="s">
        <v>139</v>
      </c>
      <c r="B189" s="1431"/>
      <c r="C189" s="1431"/>
      <c r="D189" s="1431"/>
      <c r="E189" s="1432"/>
      <c r="F189" s="1432"/>
      <c r="G189" s="1454" t="s">
        <v>140</v>
      </c>
      <c r="H189" s="1455"/>
      <c r="I189" s="1144"/>
      <c r="J189" s="1145"/>
      <c r="K189" s="1145"/>
      <c r="L189" s="1146"/>
      <c r="M189" s="1147"/>
      <c r="N189" s="1145"/>
      <c r="O189" s="1145"/>
      <c r="P189" s="1148"/>
      <c r="Q189" s="1454"/>
      <c r="R189" s="1461"/>
      <c r="S189" s="1461"/>
      <c r="T189" s="1461"/>
      <c r="U189" s="1461"/>
      <c r="V189" s="1461"/>
      <c r="W189" s="1520"/>
    </row>
    <row r="190" spans="1:23" ht="12.75" hidden="1" customHeight="1">
      <c r="A190" s="1430"/>
      <c r="B190" s="1431"/>
      <c r="C190" s="1431"/>
      <c r="D190" s="1431"/>
      <c r="E190" s="1462"/>
      <c r="F190" s="1462"/>
      <c r="G190" s="1470"/>
      <c r="H190" s="1471"/>
      <c r="I190" s="1358"/>
      <c r="J190" s="1149"/>
      <c r="K190" s="1149"/>
      <c r="L190" s="1150"/>
      <c r="M190" s="1344"/>
      <c r="N190" s="1459"/>
      <c r="O190" s="1459"/>
      <c r="P190" s="1460"/>
      <c r="Q190" s="1505"/>
      <c r="R190" s="1459"/>
      <c r="S190" s="1459"/>
      <c r="T190" s="1459"/>
      <c r="U190" s="1459"/>
      <c r="V190" s="1459"/>
      <c r="W190" s="1506"/>
    </row>
    <row r="191" spans="1:23" ht="12.75" hidden="1" customHeight="1">
      <c r="A191" s="1430" t="s">
        <v>141</v>
      </c>
      <c r="B191" s="1431"/>
      <c r="C191" s="1431"/>
      <c r="D191" s="1431"/>
      <c r="E191" s="1432"/>
      <c r="F191" s="1432"/>
      <c r="G191" s="1454"/>
      <c r="H191" s="1455"/>
      <c r="I191" s="1357"/>
      <c r="J191" s="1468"/>
      <c r="K191" s="1468"/>
      <c r="L191" s="1500"/>
      <c r="M191" s="1433"/>
      <c r="N191" s="1433"/>
      <c r="O191" s="1433"/>
      <c r="P191" s="1501"/>
      <c r="Q191" s="1456"/>
      <c r="R191" s="1456"/>
      <c r="S191" s="1456"/>
      <c r="T191" s="1456"/>
      <c r="U191" s="1456"/>
      <c r="V191" s="1456"/>
      <c r="W191" s="1457"/>
    </row>
    <row r="192" spans="1:23" ht="12.75" hidden="1" customHeight="1">
      <c r="A192" s="1435" t="s">
        <v>142</v>
      </c>
      <c r="B192" s="1436"/>
      <c r="C192" s="1436"/>
      <c r="D192" s="1437"/>
      <c r="E192" s="1696"/>
      <c r="F192" s="1432"/>
      <c r="G192" s="1345"/>
      <c r="H192" s="1346"/>
      <c r="I192" s="1357" t="s">
        <v>143</v>
      </c>
      <c r="J192" s="1468" t="str">
        <f>IF(E191="","",IF(E192="R / X in Per Unit",E193*100,100*($E$188/E193)/100*E194*COS(RADIANS($E$189))))</f>
        <v/>
      </c>
      <c r="K192" s="1469"/>
      <c r="L192" s="1357" t="s">
        <v>143</v>
      </c>
      <c r="M192" s="1151"/>
      <c r="N192" s="584" t="s">
        <v>144</v>
      </c>
      <c r="O192" s="1507"/>
      <c r="P192" s="1508"/>
      <c r="Q192" s="1456"/>
      <c r="R192" s="1456"/>
      <c r="S192" s="1456"/>
      <c r="T192" s="1456"/>
      <c r="U192" s="1456"/>
      <c r="V192" s="1456"/>
      <c r="W192" s="1457"/>
    </row>
    <row r="193" spans="1:23" ht="12.75" hidden="1" customHeight="1">
      <c r="A193" s="1463" t="str">
        <f>IF(E192="R / X in Per Unit","Resistance (R Per Unit):","MVA rating(base):")</f>
        <v>MVA rating(base):</v>
      </c>
      <c r="B193" s="1464"/>
      <c r="C193" s="1464"/>
      <c r="D193" s="1464"/>
      <c r="E193" s="1472"/>
      <c r="F193" s="1458"/>
      <c r="G193" s="1454" t="str">
        <f>IF(E192="R / X in Per Unit","PU","MVA")</f>
        <v>MVA</v>
      </c>
      <c r="H193" s="1455"/>
      <c r="I193" s="1357" t="s">
        <v>145</v>
      </c>
      <c r="J193" s="1468" t="str">
        <f>IF(E191="","",IF(E192="R / X in Per Unit",E194*100,100*($E$188/E193)/100*E194*SIN(RADIANS($E$189))))</f>
        <v/>
      </c>
      <c r="K193" s="1469"/>
      <c r="L193" s="1357" t="s">
        <v>145</v>
      </c>
      <c r="M193" s="1151"/>
      <c r="N193" t="s">
        <v>146</v>
      </c>
      <c r="O193" s="1507"/>
      <c r="P193" s="1508"/>
      <c r="Q193" s="1456"/>
      <c r="R193" s="1456"/>
      <c r="S193" s="1456"/>
      <c r="T193" s="1456"/>
      <c r="U193" s="1456"/>
      <c r="V193" s="1456"/>
      <c r="W193" s="1457"/>
    </row>
    <row r="194" spans="1:23" ht="12.75" hidden="1" customHeight="1">
      <c r="A194" s="1463" t="str">
        <f>IF(E192="R / X in Per Unit","Reactance (X Per Unit):","Impedance (%Z):")</f>
        <v>Impedance (%Z):</v>
      </c>
      <c r="B194" s="1464"/>
      <c r="C194" s="1464"/>
      <c r="D194" s="1464"/>
      <c r="E194" s="1472"/>
      <c r="F194" s="1458"/>
      <c r="G194" s="1454" t="str">
        <f>IF(E192="R / X in Per Unit","PU","%Z")</f>
        <v>%Z</v>
      </c>
      <c r="H194" s="1455"/>
      <c r="I194" s="1357"/>
      <c r="J194" s="1433" t="s">
        <v>147</v>
      </c>
      <c r="K194" s="1700"/>
      <c r="L194" s="1700"/>
      <c r="M194" s="1348" t="str">
        <f>IF(E191="","",SQRT((J192+M192)^2+(J193+M193)^2))</f>
        <v/>
      </c>
      <c r="N194" s="868"/>
      <c r="O194" s="868"/>
      <c r="P194" s="869"/>
      <c r="Q194" s="1456"/>
      <c r="R194" s="1456"/>
      <c r="S194" s="1456"/>
      <c r="T194" s="1456"/>
      <c r="U194" s="1456"/>
      <c r="V194" s="1456"/>
      <c r="W194" s="1457"/>
    </row>
    <row r="195" spans="1:23" ht="12.75" hidden="1" customHeight="1">
      <c r="A195" s="1430"/>
      <c r="B195" s="1431"/>
      <c r="C195" s="1431"/>
      <c r="D195" s="1431"/>
      <c r="E195" s="1462"/>
      <c r="F195" s="1462"/>
      <c r="G195" s="1470"/>
      <c r="H195" s="1471"/>
      <c r="I195" s="1358"/>
      <c r="J195" s="1149"/>
      <c r="K195" s="1149"/>
      <c r="L195" s="1150"/>
      <c r="M195" s="1344"/>
      <c r="N195" s="1459"/>
      <c r="O195" s="1459"/>
      <c r="P195" s="1460"/>
      <c r="Q195" s="1489"/>
      <c r="R195" s="1489"/>
      <c r="S195" s="1489"/>
      <c r="T195" s="1489"/>
      <c r="U195" s="1489"/>
      <c r="V195" s="1489"/>
      <c r="W195" s="1490"/>
    </row>
    <row r="196" spans="1:23" ht="12.75" hidden="1" customHeight="1">
      <c r="A196" s="1430" t="s">
        <v>148</v>
      </c>
      <c r="B196" s="1431"/>
      <c r="C196" s="1431"/>
      <c r="D196" s="1431"/>
      <c r="E196" s="1432"/>
      <c r="F196" s="1432"/>
      <c r="G196" s="1454"/>
      <c r="H196" s="1455"/>
      <c r="I196" s="1357"/>
      <c r="J196" s="1468"/>
      <c r="K196" s="1468"/>
      <c r="L196" s="1500"/>
      <c r="M196" s="1433"/>
      <c r="N196" s="1433"/>
      <c r="O196" s="1433"/>
      <c r="P196" s="1501"/>
      <c r="Q196" s="1456"/>
      <c r="R196" s="1456"/>
      <c r="S196" s="1456"/>
      <c r="T196" s="1456"/>
      <c r="U196" s="1456"/>
      <c r="V196" s="1456"/>
      <c r="W196" s="1457"/>
    </row>
    <row r="197" spans="1:23" ht="12.75" hidden="1" customHeight="1">
      <c r="A197" s="1435" t="s">
        <v>142</v>
      </c>
      <c r="B197" s="1436"/>
      <c r="C197" s="1436"/>
      <c r="D197" s="1437"/>
      <c r="E197" s="1498"/>
      <c r="F197" s="1432"/>
      <c r="G197" s="1345"/>
      <c r="H197" s="1346"/>
      <c r="I197" s="1357" t="s">
        <v>143</v>
      </c>
      <c r="J197" s="1468" t="str">
        <f>IF(E196="","",IF(E197="R / X in Per Unit",E198*100,100*($E$188/E198)/100*E199*COS(RADIANS($E$189))))</f>
        <v/>
      </c>
      <c r="K197" s="1469"/>
      <c r="L197" s="1357" t="s">
        <v>143</v>
      </c>
      <c r="M197" s="1151"/>
      <c r="N197" s="584" t="s">
        <v>144</v>
      </c>
      <c r="O197" s="1507"/>
      <c r="P197" s="1508"/>
      <c r="Q197" s="1456"/>
      <c r="R197" s="1456"/>
      <c r="S197" s="1456"/>
      <c r="T197" s="1456"/>
      <c r="U197" s="1456"/>
      <c r="V197" s="1456"/>
      <c r="W197" s="1457"/>
    </row>
    <row r="198" spans="1:23" ht="12.75" hidden="1" customHeight="1">
      <c r="A198" s="1463" t="str">
        <f>IF(E197="R / X in Per Unit","Resistance (R Per Unit):","MVA rating(base):")</f>
        <v>MVA rating(base):</v>
      </c>
      <c r="B198" s="1464"/>
      <c r="C198" s="1464"/>
      <c r="D198" s="1464"/>
      <c r="E198" s="1472"/>
      <c r="F198" s="1458"/>
      <c r="G198" s="1454" t="str">
        <f>IF(E197="R / X in Per Unit","PU","MVA")</f>
        <v>MVA</v>
      </c>
      <c r="H198" s="1455"/>
      <c r="I198" s="1357" t="s">
        <v>145</v>
      </c>
      <c r="J198" s="1468" t="str">
        <f>IF(E196="","",IF(E197="R / X in Per Unit",E199*100,100*($E$188/E198)/100*E199*SIN(RADIANS($E$189))))</f>
        <v/>
      </c>
      <c r="K198" s="1468"/>
      <c r="L198" s="1357" t="s">
        <v>145</v>
      </c>
      <c r="M198" s="1151"/>
      <c r="N198" t="s">
        <v>146</v>
      </c>
      <c r="O198" s="1507"/>
      <c r="P198" s="1508"/>
      <c r="Q198" s="1456"/>
      <c r="R198" s="1456"/>
      <c r="S198" s="1456"/>
      <c r="T198" s="1456"/>
      <c r="U198" s="1456"/>
      <c r="V198" s="1456"/>
      <c r="W198" s="1457"/>
    </row>
    <row r="199" spans="1:23" ht="12.75" hidden="1" customHeight="1">
      <c r="A199" s="1463" t="str">
        <f>IF(E197="R / X in Per Unit","Reactance (X Per Unit):","Impedance (%Z):")</f>
        <v>Impedance (%Z):</v>
      </c>
      <c r="B199" s="1464"/>
      <c r="C199" s="1464"/>
      <c r="D199" s="1464"/>
      <c r="E199" s="1472"/>
      <c r="F199" s="1458"/>
      <c r="G199" s="1454" t="str">
        <f>IF(E197="R / X in Per Unit","PU","%Z")</f>
        <v>%Z</v>
      </c>
      <c r="H199" s="1455"/>
      <c r="I199" s="1357"/>
      <c r="J199" s="1433" t="s">
        <v>147</v>
      </c>
      <c r="K199" s="1434"/>
      <c r="L199" s="1434"/>
      <c r="M199" s="1468" t="str">
        <f>IF(E196="","",SQRT((J197+M197)^2+(J198+M198)^2))</f>
        <v/>
      </c>
      <c r="N199" s="1700"/>
      <c r="O199" s="1700"/>
      <c r="P199" s="1701"/>
      <c r="Q199" s="1456"/>
      <c r="R199" s="1456"/>
      <c r="S199" s="1456"/>
      <c r="T199" s="1456"/>
      <c r="U199" s="1456"/>
      <c r="V199" s="1456"/>
      <c r="W199" s="1457"/>
    </row>
    <row r="200" spans="1:23" ht="12.75" hidden="1" customHeight="1">
      <c r="A200" s="1430"/>
      <c r="B200" s="1431"/>
      <c r="C200" s="1431"/>
      <c r="D200" s="1431"/>
      <c r="E200" s="1462"/>
      <c r="F200" s="1462"/>
      <c r="G200" s="1470"/>
      <c r="H200" s="1471"/>
      <c r="I200" s="1358"/>
      <c r="J200" s="1149"/>
      <c r="K200" s="1149"/>
      <c r="L200" s="1150"/>
      <c r="M200" s="1344"/>
      <c r="N200" s="1459"/>
      <c r="O200" s="1459"/>
      <c r="P200" s="1460"/>
      <c r="Q200" s="1489"/>
      <c r="R200" s="1489"/>
      <c r="S200" s="1489"/>
      <c r="T200" s="1489"/>
      <c r="U200" s="1489"/>
      <c r="V200" s="1489"/>
      <c r="W200" s="1490"/>
    </row>
    <row r="201" spans="1:23" ht="12.75" hidden="1" customHeight="1">
      <c r="A201" s="1430" t="s">
        <v>149</v>
      </c>
      <c r="B201" s="1431"/>
      <c r="C201" s="1431"/>
      <c r="D201" s="1431"/>
      <c r="E201" s="1432"/>
      <c r="F201" s="1432"/>
      <c r="G201" s="1454"/>
      <c r="H201" s="1455"/>
      <c r="I201" s="1357"/>
      <c r="J201" s="1468"/>
      <c r="K201" s="1468"/>
      <c r="L201" s="1500"/>
      <c r="M201" s="1433"/>
      <c r="N201" s="1433"/>
      <c r="O201" s="1433"/>
      <c r="P201" s="1501"/>
      <c r="Q201" s="1456"/>
      <c r="R201" s="1456"/>
      <c r="S201" s="1456"/>
      <c r="T201" s="1456"/>
      <c r="U201" s="1456"/>
      <c r="V201" s="1456"/>
      <c r="W201" s="1457"/>
    </row>
    <row r="202" spans="1:23" ht="12.75" hidden="1" customHeight="1">
      <c r="A202" s="1435" t="s">
        <v>142</v>
      </c>
      <c r="B202" s="1436"/>
      <c r="C202" s="1436"/>
      <c r="D202" s="1437"/>
      <c r="E202" s="1498"/>
      <c r="F202" s="1432"/>
      <c r="G202" s="1345"/>
      <c r="H202" s="1346"/>
      <c r="I202" s="1357" t="s">
        <v>143</v>
      </c>
      <c r="J202" s="1468" t="str">
        <f>IF(E201="","",IF(E202="R / X in Per Unit",E203*100,100*($E$188/E203)/100*E204*COS(RADIANS($E$189))))</f>
        <v/>
      </c>
      <c r="K202" s="1469"/>
      <c r="L202" s="1357" t="s">
        <v>143</v>
      </c>
      <c r="M202" s="1151"/>
      <c r="N202" s="584" t="s">
        <v>144</v>
      </c>
      <c r="O202" s="1507"/>
      <c r="P202" s="1508"/>
      <c r="Q202" s="1456"/>
      <c r="R202" s="1456"/>
      <c r="S202" s="1456"/>
      <c r="T202" s="1456"/>
      <c r="U202" s="1456"/>
      <c r="V202" s="1456"/>
      <c r="W202" s="1457"/>
    </row>
    <row r="203" spans="1:23" ht="12.75" hidden="1" customHeight="1">
      <c r="A203" s="1463" t="str">
        <f>IF(E202="R / X in Per Unit","Resistance (R Per Unit):","MVA rating(base):")</f>
        <v>MVA rating(base):</v>
      </c>
      <c r="B203" s="1464"/>
      <c r="C203" s="1464"/>
      <c r="D203" s="1464"/>
      <c r="E203" s="1472"/>
      <c r="F203" s="1458"/>
      <c r="G203" s="1454" t="str">
        <f>IF(E202="R / X in Per Unit","PU","MVA")</f>
        <v>MVA</v>
      </c>
      <c r="H203" s="1455"/>
      <c r="I203" s="1357" t="s">
        <v>145</v>
      </c>
      <c r="J203" s="1468" t="str">
        <f>IF(E201="","",IF(E202="R / X in Per Unit",E204*100,100*($E$188/E203)/100*E204*SIN(RADIANS($E$189))))</f>
        <v/>
      </c>
      <c r="K203" s="1468"/>
      <c r="L203" s="1357" t="s">
        <v>145</v>
      </c>
      <c r="M203" s="1151"/>
      <c r="N203" t="s">
        <v>146</v>
      </c>
      <c r="O203" s="1507"/>
      <c r="P203" s="1508"/>
      <c r="Q203" s="1456"/>
      <c r="R203" s="1456"/>
      <c r="S203" s="1456"/>
      <c r="T203" s="1456"/>
      <c r="U203" s="1456"/>
      <c r="V203" s="1456"/>
      <c r="W203" s="1457"/>
    </row>
    <row r="204" spans="1:23" ht="12.75" hidden="1" customHeight="1">
      <c r="A204" s="1463" t="str">
        <f>IF(E202="R / X in Per Unit","Reactance (X Per Unit):","Impedance (%Z):")</f>
        <v>Impedance (%Z):</v>
      </c>
      <c r="B204" s="1464"/>
      <c r="C204" s="1464"/>
      <c r="D204" s="1464"/>
      <c r="E204" s="1472"/>
      <c r="F204" s="1458"/>
      <c r="G204" s="1454" t="str">
        <f>IF(E202="R / X in Per Unit","PU","%Z")</f>
        <v>%Z</v>
      </c>
      <c r="H204" s="1455"/>
      <c r="I204" s="1357"/>
      <c r="J204" s="1433" t="s">
        <v>147</v>
      </c>
      <c r="K204" s="1434"/>
      <c r="L204" s="1434"/>
      <c r="M204" s="1468" t="str">
        <f>IF(E201="","",SQRT((J202+M202)^2+(J203+M203)^2))</f>
        <v/>
      </c>
      <c r="N204" s="1468"/>
      <c r="O204" s="1468"/>
      <c r="P204" s="1469"/>
      <c r="Q204" s="1456"/>
      <c r="R204" s="1456"/>
      <c r="S204" s="1456"/>
      <c r="T204" s="1456"/>
      <c r="U204" s="1456"/>
      <c r="V204" s="1456"/>
      <c r="W204" s="1457"/>
    </row>
    <row r="205" spans="1:23" ht="12.75" hidden="1" customHeight="1">
      <c r="A205" s="1430"/>
      <c r="B205" s="1431"/>
      <c r="C205" s="1431"/>
      <c r="D205" s="1431"/>
      <c r="E205" s="1462"/>
      <c r="F205" s="1462"/>
      <c r="G205" s="1470"/>
      <c r="H205" s="1471"/>
      <c r="I205" s="1358"/>
      <c r="J205" s="1149"/>
      <c r="K205" s="1149"/>
      <c r="L205" s="1150"/>
      <c r="M205" s="1344"/>
      <c r="N205" s="1459"/>
      <c r="O205" s="1459"/>
      <c r="P205" s="1460"/>
      <c r="Q205" s="1489"/>
      <c r="R205" s="1489"/>
      <c r="S205" s="1489"/>
      <c r="T205" s="1489"/>
      <c r="U205" s="1489"/>
      <c r="V205" s="1489"/>
      <c r="W205" s="1490"/>
    </row>
    <row r="206" spans="1:23" ht="12.75" hidden="1" customHeight="1">
      <c r="A206" s="1430" t="s">
        <v>150</v>
      </c>
      <c r="B206" s="1431"/>
      <c r="C206" s="1431"/>
      <c r="D206" s="1431"/>
      <c r="E206" s="1432"/>
      <c r="F206" s="1432"/>
      <c r="G206" s="1454"/>
      <c r="H206" s="1455"/>
      <c r="I206" s="1357"/>
      <c r="J206" s="1468"/>
      <c r="K206" s="1468"/>
      <c r="L206" s="1500"/>
      <c r="M206" s="1433"/>
      <c r="N206" s="1433"/>
      <c r="O206" s="1433"/>
      <c r="P206" s="1501"/>
      <c r="Q206" s="1456"/>
      <c r="R206" s="1456"/>
      <c r="S206" s="1456"/>
      <c r="T206" s="1456"/>
      <c r="U206" s="1456"/>
      <c r="V206" s="1456"/>
      <c r="W206" s="1457"/>
    </row>
    <row r="207" spans="1:23" ht="12.75" hidden="1" customHeight="1">
      <c r="A207" s="1435" t="s">
        <v>142</v>
      </c>
      <c r="B207" s="1436"/>
      <c r="C207" s="1436"/>
      <c r="D207" s="1437"/>
      <c r="E207" s="1432"/>
      <c r="F207" s="1432"/>
      <c r="G207" s="1345"/>
      <c r="H207" s="1346"/>
      <c r="I207" s="1357" t="s">
        <v>143</v>
      </c>
      <c r="J207" s="1468" t="str">
        <f>IF(E206="","",IF(E207="R / X in Per Unit",E208*100,100*($E$188/E208)/100*E209*COS(RADIANS($E$189))))</f>
        <v/>
      </c>
      <c r="K207" s="1469"/>
      <c r="L207" s="1357" t="s">
        <v>143</v>
      </c>
      <c r="M207" s="1151"/>
      <c r="N207" s="584" t="s">
        <v>144</v>
      </c>
      <c r="O207" s="1507"/>
      <c r="P207" s="1508"/>
      <c r="Q207" s="1456"/>
      <c r="R207" s="1456"/>
      <c r="S207" s="1456"/>
      <c r="T207" s="1456"/>
      <c r="U207" s="1456"/>
      <c r="V207" s="1456"/>
      <c r="W207" s="1457"/>
    </row>
    <row r="208" spans="1:23" ht="12.75" hidden="1" customHeight="1">
      <c r="A208" s="1463" t="str">
        <f>IF(E207="R / X in Per Unit","Resistance (R Per Unit):","MVA rating(base):")</f>
        <v>MVA rating(base):</v>
      </c>
      <c r="B208" s="1464"/>
      <c r="C208" s="1464"/>
      <c r="D208" s="1464"/>
      <c r="E208" s="1458"/>
      <c r="F208" s="1458"/>
      <c r="G208" s="1454" t="str">
        <f>IF(E207="R / X in Per Unit","PU","MVA")</f>
        <v>MVA</v>
      </c>
      <c r="H208" s="1455"/>
      <c r="I208" s="1357" t="s">
        <v>145</v>
      </c>
      <c r="J208" s="1468" t="str">
        <f>IF(E206="","",IF(E207="R / X in Per Unit",E209*100,100*($E$188/E208)/100*E209*SIN(RADIANS($E$189))))</f>
        <v/>
      </c>
      <c r="K208" s="1468"/>
      <c r="L208" s="1357" t="s">
        <v>145</v>
      </c>
      <c r="M208" s="1151"/>
      <c r="N208" t="s">
        <v>146</v>
      </c>
      <c r="O208" s="1507"/>
      <c r="P208" s="1508"/>
      <c r="Q208" s="1456"/>
      <c r="R208" s="1456"/>
      <c r="S208" s="1456"/>
      <c r="T208" s="1456"/>
      <c r="U208" s="1456"/>
      <c r="V208" s="1456"/>
      <c r="W208" s="1457"/>
    </row>
    <row r="209" spans="1:23" ht="12.75" hidden="1" customHeight="1" thickBot="1">
      <c r="A209" s="1487" t="str">
        <f>IF(E207="R / X in Per Unit","Reactance (X Per Unit):","Impedance (%Z):")</f>
        <v>Impedance (%Z):</v>
      </c>
      <c r="B209" s="1488"/>
      <c r="C209" s="1488"/>
      <c r="D209" s="1488"/>
      <c r="E209" s="1486"/>
      <c r="F209" s="1486"/>
      <c r="G209" s="1477" t="str">
        <f>IF(E207="R / X in Per Unit","PU","%Z")</f>
        <v>%Z</v>
      </c>
      <c r="H209" s="1478"/>
      <c r="I209" s="1152"/>
      <c r="J209" s="1494" t="s">
        <v>147</v>
      </c>
      <c r="K209" s="1495"/>
      <c r="L209" s="1495"/>
      <c r="M209" s="1474" t="str">
        <f>IF(E206="","",SQRT((J207+M207)^2+(J208+M208)^2))</f>
        <v/>
      </c>
      <c r="N209" s="1474"/>
      <c r="O209" s="1474"/>
      <c r="P209" s="1475"/>
      <c r="Q209" s="1452"/>
      <c r="R209" s="1452"/>
      <c r="S209" s="1452"/>
      <c r="T209" s="1452"/>
      <c r="U209" s="1452"/>
      <c r="V209" s="1452"/>
      <c r="W209" s="1453"/>
    </row>
    <row r="210" spans="1:23" ht="12" hidden="1" customHeight="1">
      <c r="A210" s="1138"/>
      <c r="B210" s="1138"/>
      <c r="C210" s="1138"/>
      <c r="D210" s="1138"/>
      <c r="E210" s="1138"/>
      <c r="F210" s="1138"/>
      <c r="G210" s="1138"/>
      <c r="H210" s="1138"/>
      <c r="I210" s="1138"/>
      <c r="J210" s="1138"/>
      <c r="K210" s="1368"/>
      <c r="L210" s="1368"/>
      <c r="M210" s="1368"/>
      <c r="N210" s="1368"/>
      <c r="O210" s="1368"/>
      <c r="P210" s="1368"/>
      <c r="Q210" s="1368"/>
      <c r="S210" s="116"/>
      <c r="T210" s="77"/>
      <c r="U210" s="1129"/>
    </row>
    <row r="211" spans="1:23" ht="12" hidden="1" customHeight="1" thickBot="1">
      <c r="A211" s="1138"/>
      <c r="B211" s="1138"/>
      <c r="C211" s="1138"/>
      <c r="D211" s="1138"/>
      <c r="E211" s="1138"/>
      <c r="F211" s="1138"/>
      <c r="G211" s="1138"/>
      <c r="H211" s="1138"/>
      <c r="I211" s="1138"/>
      <c r="J211" s="1138"/>
      <c r="K211" s="1368"/>
      <c r="L211" s="1368"/>
      <c r="M211" s="1368"/>
      <c r="N211" s="1368"/>
      <c r="O211" s="1368"/>
      <c r="P211" s="1368"/>
      <c r="Q211" s="1368"/>
      <c r="S211" s="116"/>
      <c r="T211" s="77"/>
      <c r="U211" s="1129"/>
    </row>
    <row r="212" spans="1:23" ht="18" hidden="1" thickBot="1">
      <c r="A212" s="1524" t="s">
        <v>151</v>
      </c>
      <c r="B212" s="1525"/>
      <c r="C212" s="1525"/>
      <c r="D212" s="1525"/>
      <c r="E212" s="1525"/>
      <c r="F212" s="1525"/>
      <c r="G212" s="1525"/>
      <c r="H212" s="1525"/>
      <c r="I212" s="1525"/>
      <c r="J212" s="1525"/>
      <c r="K212" s="1525"/>
      <c r="L212" s="1525"/>
      <c r="M212" s="1525"/>
      <c r="N212" s="1525"/>
      <c r="O212" s="1525"/>
      <c r="P212" s="1525"/>
      <c r="Q212" s="1525"/>
      <c r="R212" s="1525"/>
      <c r="S212" s="1525"/>
      <c r="T212" s="1525"/>
      <c r="U212" s="1525"/>
      <c r="V212" s="1525"/>
      <c r="W212" s="1526"/>
    </row>
    <row r="213" spans="1:23" ht="15.6" hidden="1" thickBot="1">
      <c r="A213" s="1510" t="s">
        <v>26</v>
      </c>
      <c r="B213" s="1511"/>
      <c r="C213" s="1511"/>
      <c r="D213" s="1511"/>
      <c r="E213" s="1510" t="s">
        <v>27</v>
      </c>
      <c r="F213" s="1511"/>
      <c r="G213" s="1511"/>
      <c r="H213" s="1511"/>
      <c r="I213" s="1537" t="s">
        <v>152</v>
      </c>
      <c r="J213" s="1538"/>
      <c r="K213" s="1538"/>
      <c r="L213" s="1539"/>
      <c r="M213" s="1538" t="s">
        <v>153</v>
      </c>
      <c r="N213" s="1538"/>
      <c r="O213" s="1538"/>
      <c r="P213" s="1539"/>
      <c r="Q213" s="1510"/>
      <c r="R213" s="1511"/>
      <c r="S213" s="1511"/>
      <c r="T213" s="1511"/>
      <c r="U213" s="1511"/>
      <c r="V213" s="1511"/>
      <c r="W213" s="1512"/>
    </row>
    <row r="214" spans="1:23" ht="13.2" hidden="1">
      <c r="A214" s="1513" t="s">
        <v>138</v>
      </c>
      <c r="B214" s="1514"/>
      <c r="C214" s="1514"/>
      <c r="D214" s="1514"/>
      <c r="E214" s="1521"/>
      <c r="F214" s="1521"/>
      <c r="G214" s="1502" t="s">
        <v>80</v>
      </c>
      <c r="H214" s="1509"/>
      <c r="I214" s="1359"/>
      <c r="J214" s="1503"/>
      <c r="K214" s="1503"/>
      <c r="L214" s="1509"/>
      <c r="M214" s="1359"/>
      <c r="N214" s="1503"/>
      <c r="O214" s="1503"/>
      <c r="P214" s="1509"/>
      <c r="Q214" s="1522"/>
      <c r="R214" s="1522"/>
      <c r="S214" s="1522"/>
      <c r="T214" s="1522"/>
      <c r="U214" s="1522"/>
      <c r="V214" s="1522"/>
      <c r="W214" s="1523"/>
    </row>
    <row r="215" spans="1:23" ht="12.75" hidden="1" customHeight="1">
      <c r="A215" s="1430" t="s">
        <v>139</v>
      </c>
      <c r="B215" s="1431"/>
      <c r="C215" s="1431"/>
      <c r="D215" s="1431"/>
      <c r="E215" s="1432"/>
      <c r="F215" s="1432"/>
      <c r="G215" s="1454" t="s">
        <v>140</v>
      </c>
      <c r="H215" s="1455"/>
      <c r="I215" s="1345"/>
      <c r="J215" s="1461"/>
      <c r="K215" s="1461"/>
      <c r="L215" s="1455"/>
      <c r="M215" s="1345"/>
      <c r="N215" s="1461"/>
      <c r="O215" s="1461"/>
      <c r="P215" s="1455"/>
      <c r="Q215" s="1456"/>
      <c r="R215" s="1456"/>
      <c r="S215" s="1456"/>
      <c r="T215" s="1456"/>
      <c r="U215" s="1456"/>
      <c r="V215" s="1456"/>
      <c r="W215" s="1457"/>
    </row>
    <row r="216" spans="1:23" ht="12.75" hidden="1" customHeight="1">
      <c r="A216" s="1430" t="s">
        <v>154</v>
      </c>
      <c r="B216" s="1431"/>
      <c r="C216" s="1431"/>
      <c r="D216" s="1431"/>
      <c r="E216" s="1743"/>
      <c r="F216" s="1743"/>
      <c r="G216" s="1454"/>
      <c r="H216" s="1455"/>
      <c r="I216" s="1345"/>
      <c r="J216" s="1461"/>
      <c r="K216" s="1461"/>
      <c r="L216" s="1455"/>
      <c r="M216" s="1345"/>
      <c r="N216" s="1461"/>
      <c r="O216" s="1461"/>
      <c r="P216" s="1455"/>
      <c r="Q216" s="1456"/>
      <c r="R216" s="1456"/>
      <c r="S216" s="1456"/>
      <c r="T216" s="1456"/>
      <c r="U216" s="1456"/>
      <c r="V216" s="1456"/>
      <c r="W216" s="1457"/>
    </row>
    <row r="217" spans="1:23" ht="12.75" hidden="1" customHeight="1">
      <c r="A217" s="1430"/>
      <c r="B217" s="1431"/>
      <c r="C217" s="1431"/>
      <c r="D217" s="1431"/>
      <c r="E217" s="1462"/>
      <c r="F217" s="1462"/>
      <c r="G217" s="1470"/>
      <c r="H217" s="1471"/>
      <c r="I217" s="1358"/>
      <c r="J217" s="1459"/>
      <c r="K217" s="1459"/>
      <c r="L217" s="1460"/>
      <c r="M217" s="1358"/>
      <c r="N217" s="1459"/>
      <c r="O217" s="1459"/>
      <c r="P217" s="1460"/>
      <c r="Q217" s="1489"/>
      <c r="R217" s="1489"/>
      <c r="S217" s="1489"/>
      <c r="T217" s="1489"/>
      <c r="U217" s="1489"/>
      <c r="V217" s="1489"/>
      <c r="W217" s="1490"/>
    </row>
    <row r="218" spans="1:23" ht="12.75" hidden="1" customHeight="1">
      <c r="A218" s="1430" t="s">
        <v>155</v>
      </c>
      <c r="B218" s="1431"/>
      <c r="C218" s="1431"/>
      <c r="D218" s="1431"/>
      <c r="E218" s="1432"/>
      <c r="F218" s="1432"/>
      <c r="G218" s="1454"/>
      <c r="H218" s="1455"/>
      <c r="I218" s="1357" t="s">
        <v>143</v>
      </c>
      <c r="J218" s="1468" t="str">
        <f>IF(E218="","",IF(E220="R / X in Per Unit",E221*100,100*($E$214/E221)/100*E222*COS(RADIANS($E$215))))</f>
        <v/>
      </c>
      <c r="K218" s="1468"/>
      <c r="L218" s="1469"/>
      <c r="M218" s="1357" t="s">
        <v>143</v>
      </c>
      <c r="N218" s="1461" t="str">
        <f>IF(E218="","",100*VLOOKUP("MATCH",$AA$314:$AO$331,14,))</f>
        <v/>
      </c>
      <c r="O218" s="1461"/>
      <c r="P218" s="1455"/>
      <c r="Q218" s="1456" t="str">
        <f>IF(E218="","",IF(ISERROR(VLOOKUP("MATCH",$AA$314:$AO$331,14,)),"Please check substation spelling",""))</f>
        <v/>
      </c>
      <c r="R218" s="1456"/>
      <c r="S218" s="1456"/>
      <c r="T218" s="1456"/>
      <c r="U218" s="1456"/>
      <c r="V218" s="1456"/>
      <c r="W218" s="1457"/>
    </row>
    <row r="219" spans="1:23" ht="12.75" hidden="1" customHeight="1">
      <c r="A219" s="1435" t="s">
        <v>156</v>
      </c>
      <c r="B219" s="1436"/>
      <c r="C219" s="1436"/>
      <c r="D219" s="1437"/>
      <c r="E219" s="1482"/>
      <c r="F219" s="1483"/>
      <c r="G219" s="1454"/>
      <c r="H219" s="1455"/>
      <c r="I219" s="1357" t="s">
        <v>145</v>
      </c>
      <c r="J219" s="1468" t="str">
        <f>IF(E218="","",IF(E220="R / X in Per Unit",E222*100,100*($E$214/E221)/100*E222*SIN(RADIANS($E$215))))</f>
        <v/>
      </c>
      <c r="K219" s="1468"/>
      <c r="L219" s="1469"/>
      <c r="M219" s="1357" t="s">
        <v>145</v>
      </c>
      <c r="N219" s="1461" t="str">
        <f>IF(E218="","",100*VLOOKUP("MATCH",$AA$314:$AO$331,15,))</f>
        <v/>
      </c>
      <c r="O219" s="1461"/>
      <c r="P219" s="1455"/>
      <c r="Q219" s="1454"/>
      <c r="R219" s="1461"/>
      <c r="S219" s="1461"/>
      <c r="T219" s="1461"/>
      <c r="U219" s="1461"/>
      <c r="V219" s="1461"/>
      <c r="W219" s="1520"/>
    </row>
    <row r="220" spans="1:23" ht="12.75" hidden="1" customHeight="1">
      <c r="A220" s="1435" t="s">
        <v>142</v>
      </c>
      <c r="B220" s="1436"/>
      <c r="C220" s="1436"/>
      <c r="D220" s="1437"/>
      <c r="E220" s="1499"/>
      <c r="F220" s="1432"/>
      <c r="G220" s="1345"/>
      <c r="H220" s="1346"/>
      <c r="I220" s="1357"/>
      <c r="J220" s="1348"/>
      <c r="K220" s="1348"/>
      <c r="L220" s="1348"/>
      <c r="M220" s="1347"/>
      <c r="N220" s="1350"/>
      <c r="O220" s="1350"/>
      <c r="P220" s="1346"/>
      <c r="Q220" s="1454"/>
      <c r="R220" s="1461"/>
      <c r="S220" s="1461"/>
      <c r="T220" s="1461"/>
      <c r="U220" s="1461"/>
      <c r="V220" s="1461"/>
      <c r="W220" s="1520"/>
    </row>
    <row r="221" spans="1:23" ht="13.2" hidden="1">
      <c r="A221" s="1463" t="str">
        <f>IF(E220="R / X in Per Unit","Resistance (R Per Unit):","MVA rating(base):")</f>
        <v>MVA rating(base):</v>
      </c>
      <c r="B221" s="1464"/>
      <c r="C221" s="1464"/>
      <c r="D221" s="1464"/>
      <c r="E221" s="1472"/>
      <c r="F221" s="1458"/>
      <c r="G221" s="1454" t="str">
        <f>IF(E220="R / X in Per Unit","PU","MVA")</f>
        <v>MVA</v>
      </c>
      <c r="H221" s="1455"/>
      <c r="I221" s="1357"/>
      <c r="J221" s="1433" t="s">
        <v>147</v>
      </c>
      <c r="K221" s="1433"/>
      <c r="L221" s="1433"/>
      <c r="M221" s="1461" t="str">
        <f>IF(E218="","",ROUND(E216*J218+N218,4)&amp;" + j"&amp;ROUND(E216*J219+N219,4))</f>
        <v/>
      </c>
      <c r="N221" s="1461"/>
      <c r="O221" s="1461"/>
      <c r="P221" s="1455"/>
      <c r="Q221" s="1456"/>
      <c r="R221" s="1456"/>
      <c r="S221" s="1456"/>
      <c r="T221" s="1456"/>
      <c r="U221" s="1456"/>
      <c r="V221" s="1456"/>
      <c r="W221" s="1457"/>
    </row>
    <row r="222" spans="1:23" ht="13.2" hidden="1">
      <c r="A222" s="1463" t="str">
        <f>IF(E220="R / X in Per Unit","Reactance (X Per Unit):","Impedance (%Z):")</f>
        <v>Impedance (%Z):</v>
      </c>
      <c r="B222" s="1464"/>
      <c r="C222" s="1464"/>
      <c r="D222" s="1464"/>
      <c r="E222" s="1472"/>
      <c r="F222" s="1458"/>
      <c r="G222" s="1454" t="str">
        <f>IF(E220="R / X in Per Unit","PU","%Z")</f>
        <v>%Z</v>
      </c>
      <c r="H222" s="1455"/>
      <c r="I222" s="1357"/>
      <c r="J222" s="1433" t="s">
        <v>147</v>
      </c>
      <c r="K222" s="1434"/>
      <c r="L222" s="1434"/>
      <c r="M222" s="1468" t="str">
        <f>IF(E218="","",SQRT((E216*J218+N218)^2+(E216*J219+N219)^2))</f>
        <v/>
      </c>
      <c r="N222" s="1468"/>
      <c r="O222" s="1468"/>
      <c r="P222" s="1469"/>
      <c r="Q222" s="1456"/>
      <c r="R222" s="1456"/>
      <c r="S222" s="1456"/>
      <c r="T222" s="1456"/>
      <c r="U222" s="1456"/>
      <c r="V222" s="1456"/>
      <c r="W222" s="1457"/>
    </row>
    <row r="223" spans="1:23" ht="12" hidden="1" customHeight="1">
      <c r="A223" s="1430"/>
      <c r="B223" s="1431"/>
      <c r="C223" s="1431"/>
      <c r="D223" s="1431"/>
      <c r="E223" s="1462"/>
      <c r="F223" s="1462"/>
      <c r="G223" s="1470"/>
      <c r="H223" s="1471"/>
      <c r="I223" s="1358"/>
      <c r="J223" s="1459"/>
      <c r="K223" s="1459"/>
      <c r="L223" s="1460"/>
      <c r="M223" s="1358"/>
      <c r="N223" s="1459"/>
      <c r="O223" s="1459"/>
      <c r="P223" s="1460"/>
      <c r="Q223" s="1489"/>
      <c r="R223" s="1489"/>
      <c r="S223" s="1489"/>
      <c r="T223" s="1489"/>
      <c r="U223" s="1489"/>
      <c r="V223" s="1489"/>
      <c r="W223" s="1490"/>
    </row>
    <row r="224" spans="1:23" ht="12" hidden="1" customHeight="1">
      <c r="A224" s="1430" t="s">
        <v>157</v>
      </c>
      <c r="B224" s="1431"/>
      <c r="C224" s="1431"/>
      <c r="D224" s="1431"/>
      <c r="E224" s="1432"/>
      <c r="F224" s="1432"/>
      <c r="G224" s="1454"/>
      <c r="H224" s="1455"/>
      <c r="I224" s="1357" t="s">
        <v>143</v>
      </c>
      <c r="J224" s="1468" t="str">
        <f>IF(E224="","",IF(E226="R / X in Per Unit",E227*100,100*($E$214/E227)/100*E228*COS(RADIANS($E$215))))</f>
        <v/>
      </c>
      <c r="K224" s="1468"/>
      <c r="L224" s="1469"/>
      <c r="M224" s="1357" t="s">
        <v>143</v>
      </c>
      <c r="N224" s="1461" t="str">
        <f>IF(E224="","",100*VLOOKUP("MATCH",AB314:AO331,13,))</f>
        <v/>
      </c>
      <c r="O224" s="1461"/>
      <c r="P224" s="1455"/>
      <c r="Q224" s="1456" t="str">
        <f>IF(E224="","",IF(ISERROR(VLOOKUP("MATCH",AB314:AO331,13,)),"Please check substation spelling",""))</f>
        <v/>
      </c>
      <c r="R224" s="1456"/>
      <c r="S224" s="1456"/>
      <c r="T224" s="1456"/>
      <c r="U224" s="1456"/>
      <c r="V224" s="1456"/>
      <c r="W224" s="1457"/>
    </row>
    <row r="225" spans="1:23" ht="13.2" hidden="1">
      <c r="A225" s="1430" t="s">
        <v>156</v>
      </c>
      <c r="B225" s="1431"/>
      <c r="C225" s="1431"/>
      <c r="D225" s="1431"/>
      <c r="E225" s="1482"/>
      <c r="F225" s="1483"/>
      <c r="G225" s="1454"/>
      <c r="H225" s="1455"/>
      <c r="I225" s="1357" t="s">
        <v>145</v>
      </c>
      <c r="J225" s="1468" t="str">
        <f>IF(E224="","",IF(E226="R / X in Per Unit",E228*100,100*($E$214/E227)/100*E228*SIN(RADIANS($E$215))))</f>
        <v/>
      </c>
      <c r="K225" s="1468"/>
      <c r="L225" s="1469"/>
      <c r="M225" s="1357" t="s">
        <v>145</v>
      </c>
      <c r="N225" s="1461" t="str">
        <f>IF(E224="","",100*VLOOKUP("MATCH",$AB$314:$AO$331,14,))</f>
        <v/>
      </c>
      <c r="O225" s="1461"/>
      <c r="P225" s="1455"/>
      <c r="Q225" s="1456"/>
      <c r="R225" s="1456"/>
      <c r="S225" s="1456"/>
      <c r="T225" s="1456"/>
      <c r="U225" s="1456"/>
      <c r="V225" s="1456"/>
      <c r="W225" s="1457"/>
    </row>
    <row r="226" spans="1:23" ht="13.2" hidden="1">
      <c r="A226" s="1435" t="s">
        <v>142</v>
      </c>
      <c r="B226" s="1436"/>
      <c r="C226" s="1436"/>
      <c r="D226" s="1437"/>
      <c r="E226" s="1499"/>
      <c r="F226" s="1432"/>
      <c r="G226" s="1345"/>
      <c r="H226" s="1346"/>
      <c r="I226" s="1357"/>
      <c r="J226" s="1348"/>
      <c r="K226" s="1348"/>
      <c r="L226" s="1348"/>
      <c r="M226" s="1347"/>
      <c r="N226" s="1350"/>
      <c r="O226" s="1350"/>
      <c r="P226" s="1346"/>
      <c r="Q226" s="1456"/>
      <c r="R226" s="1456"/>
      <c r="S226" s="1456"/>
      <c r="T226" s="1456"/>
      <c r="U226" s="1456"/>
      <c r="V226" s="1456"/>
      <c r="W226" s="1457"/>
    </row>
    <row r="227" spans="1:23" ht="13.2" hidden="1">
      <c r="A227" s="1463" t="str">
        <f>IF(E226="R / X in Per Unit","Resistance (R Per Unit):","MVA rating(base):")</f>
        <v>MVA rating(base):</v>
      </c>
      <c r="B227" s="1464"/>
      <c r="C227" s="1464"/>
      <c r="D227" s="1464"/>
      <c r="E227" s="1472"/>
      <c r="F227" s="1458"/>
      <c r="G227" s="1454" t="str">
        <f>IF(E226="R / X in Per Unit","PU","MVA")</f>
        <v>MVA</v>
      </c>
      <c r="H227" s="1455"/>
      <c r="I227" s="1357"/>
      <c r="J227" s="1433" t="s">
        <v>147</v>
      </c>
      <c r="K227" s="1433"/>
      <c r="L227" s="1433"/>
      <c r="M227" s="1461" t="str">
        <f>IF(E224="","",ROUND(E216*J224+N224,4)&amp;" + j"&amp;ROUND(E216*J225+N225,4))</f>
        <v/>
      </c>
      <c r="N227" s="1461"/>
      <c r="O227" s="1461"/>
      <c r="P227" s="1455"/>
      <c r="Q227" s="1456"/>
      <c r="R227" s="1456"/>
      <c r="S227" s="1456"/>
      <c r="T227" s="1456"/>
      <c r="U227" s="1456"/>
      <c r="V227" s="1456"/>
      <c r="W227" s="1457"/>
    </row>
    <row r="228" spans="1:23" ht="12" hidden="1" customHeight="1">
      <c r="A228" s="1463" t="str">
        <f>IF(E226="R / X in Per Unit","Reactance (X Per Unit):","Impedance (%Z):")</f>
        <v>Impedance (%Z):</v>
      </c>
      <c r="B228" s="1464"/>
      <c r="C228" s="1464"/>
      <c r="D228" s="1464"/>
      <c r="E228" s="1472"/>
      <c r="F228" s="1458"/>
      <c r="G228" s="1454" t="str">
        <f>IF(E226="R / X in Per Unit","PU","%Z")</f>
        <v>%Z</v>
      </c>
      <c r="H228" s="1455"/>
      <c r="I228" s="1357"/>
      <c r="J228" s="1433" t="s">
        <v>147</v>
      </c>
      <c r="K228" s="1434"/>
      <c r="L228" s="1434"/>
      <c r="M228" s="1468" t="str">
        <f>IF(E224="","",SQRT((E216*J224+N224)^2+(E216*J225+N225)^2))</f>
        <v/>
      </c>
      <c r="N228" s="1468"/>
      <c r="O228" s="1468"/>
      <c r="P228" s="1469"/>
      <c r="Q228" s="1456"/>
      <c r="R228" s="1456"/>
      <c r="S228" s="1456"/>
      <c r="T228" s="1456"/>
      <c r="U228" s="1456"/>
      <c r="V228" s="1456"/>
      <c r="W228" s="1457"/>
    </row>
    <row r="229" spans="1:23" ht="13.2" hidden="1">
      <c r="A229" s="1430"/>
      <c r="B229" s="1431"/>
      <c r="C229" s="1431"/>
      <c r="D229" s="1431"/>
      <c r="E229" s="1462"/>
      <c r="F229" s="1462"/>
      <c r="G229" s="1470"/>
      <c r="H229" s="1471"/>
      <c r="I229" s="1358"/>
      <c r="J229" s="1459"/>
      <c r="K229" s="1459"/>
      <c r="L229" s="1460"/>
      <c r="M229" s="1358"/>
      <c r="N229" s="1459"/>
      <c r="O229" s="1459"/>
      <c r="P229" s="1460"/>
      <c r="Q229" s="1489"/>
      <c r="R229" s="1489"/>
      <c r="S229" s="1489"/>
      <c r="T229" s="1489"/>
      <c r="U229" s="1489"/>
      <c r="V229" s="1489"/>
      <c r="W229" s="1490"/>
    </row>
    <row r="230" spans="1:23" ht="13.2" hidden="1">
      <c r="A230" s="1430" t="s">
        <v>158</v>
      </c>
      <c r="B230" s="1431"/>
      <c r="C230" s="1431"/>
      <c r="D230" s="1431"/>
      <c r="E230" s="1432"/>
      <c r="F230" s="1432"/>
      <c r="G230" s="1454"/>
      <c r="H230" s="1455"/>
      <c r="I230" s="1357" t="s">
        <v>143</v>
      </c>
      <c r="J230" s="1468" t="str">
        <f>IF(E230="","",IF(E232="R / X in Per Unit",E233*100,100*($E$214/E233)/100*E234*COS(RADIANS($E$215))))</f>
        <v/>
      </c>
      <c r="K230" s="1468"/>
      <c r="L230" s="1469"/>
      <c r="M230" s="1357" t="s">
        <v>143</v>
      </c>
      <c r="N230" s="1461" t="str">
        <f>IF(E230="","",100*VLOOKUP("MATCH",$AC$314:$AO$331,12,))</f>
        <v/>
      </c>
      <c r="O230" s="1461"/>
      <c r="P230" s="1455"/>
      <c r="Q230" s="1456" t="str">
        <f>IF(E230="","",IF(ISERROR(VLOOKUP("MATCH",$AC$314:$AO$331,12,)),"Please check substation spelling",""))</f>
        <v/>
      </c>
      <c r="R230" s="1456"/>
      <c r="S230" s="1456"/>
      <c r="T230" s="1456"/>
      <c r="U230" s="1456"/>
      <c r="V230" s="1456"/>
      <c r="W230" s="1457"/>
    </row>
    <row r="231" spans="1:23" ht="13.2" hidden="1">
      <c r="A231" s="1430" t="s">
        <v>156</v>
      </c>
      <c r="B231" s="1431"/>
      <c r="C231" s="1431"/>
      <c r="D231" s="1431"/>
      <c r="E231" s="1482"/>
      <c r="F231" s="1483"/>
      <c r="G231" s="1454"/>
      <c r="H231" s="1455"/>
      <c r="I231" s="1357" t="s">
        <v>145</v>
      </c>
      <c r="J231" s="1468" t="str">
        <f>IF(E230="","",IF(E232="R / X in Per Unit",E234*100,100*($E$214/E233)/100*E234*SIN(RADIANS($E$215))))</f>
        <v/>
      </c>
      <c r="K231" s="1468"/>
      <c r="L231" s="1469"/>
      <c r="M231" s="1357" t="s">
        <v>145</v>
      </c>
      <c r="N231" s="1461" t="str">
        <f>IF(E230="","",100*VLOOKUP("MATCH",$AC$314:$AO$331,13,))</f>
        <v/>
      </c>
      <c r="O231" s="1461"/>
      <c r="P231" s="1455"/>
      <c r="Q231" s="1456"/>
      <c r="R231" s="1456"/>
      <c r="S231" s="1456"/>
      <c r="T231" s="1456"/>
      <c r="U231" s="1456"/>
      <c r="V231" s="1456"/>
      <c r="W231" s="1457"/>
    </row>
    <row r="232" spans="1:23" ht="13.2" hidden="1">
      <c r="A232" s="1435" t="s">
        <v>142</v>
      </c>
      <c r="B232" s="1436"/>
      <c r="C232" s="1436"/>
      <c r="D232" s="1437"/>
      <c r="E232" s="1498"/>
      <c r="F232" s="1432"/>
      <c r="G232" s="1345"/>
      <c r="H232" s="1346"/>
      <c r="I232" s="1357"/>
      <c r="J232" s="1348"/>
      <c r="K232" s="1348"/>
      <c r="L232" s="1348"/>
      <c r="M232" s="1347"/>
      <c r="N232" s="1350"/>
      <c r="O232" s="1350"/>
      <c r="P232" s="1346"/>
      <c r="Q232" s="1489"/>
      <c r="R232" s="1489"/>
      <c r="S232" s="1489"/>
      <c r="T232" s="1489"/>
      <c r="U232" s="1489"/>
      <c r="V232" s="1489"/>
      <c r="W232" s="1490"/>
    </row>
    <row r="233" spans="1:23" ht="12" hidden="1" customHeight="1">
      <c r="A233" s="1463" t="str">
        <f>IF(E232="R / X in Per Unit","Resistance (R Per Unit):","MVA rating(base):")</f>
        <v>MVA rating(base):</v>
      </c>
      <c r="B233" s="1464"/>
      <c r="C233" s="1464"/>
      <c r="D233" s="1464"/>
      <c r="E233" s="1472"/>
      <c r="F233" s="1458"/>
      <c r="G233" s="1454" t="str">
        <f>IF(E232="R / X in Per Unit","PU","MVA")</f>
        <v>MVA</v>
      </c>
      <c r="H233" s="1455"/>
      <c r="I233" s="1357"/>
      <c r="J233" s="1433" t="s">
        <v>147</v>
      </c>
      <c r="K233" s="1433"/>
      <c r="L233" s="1433"/>
      <c r="M233" s="1461" t="str">
        <f>IF(E230="","",ROUND(E216*J230+N230,4)&amp;" + j"&amp;ROUND(E216*J231+N231,4))</f>
        <v/>
      </c>
      <c r="N233" s="1461"/>
      <c r="O233" s="1461"/>
      <c r="P233" s="1455"/>
      <c r="Q233" s="1456"/>
      <c r="R233" s="1456"/>
      <c r="S233" s="1456"/>
      <c r="T233" s="1456"/>
      <c r="U233" s="1456"/>
      <c r="V233" s="1456"/>
      <c r="W233" s="1457"/>
    </row>
    <row r="234" spans="1:23" ht="12" hidden="1" customHeight="1">
      <c r="A234" s="1463" t="str">
        <f>IF(E232="R / X in Per Unit","Reactance (X Per Unit):","Impedance (%Z):")</f>
        <v>Impedance (%Z):</v>
      </c>
      <c r="B234" s="1464"/>
      <c r="C234" s="1464"/>
      <c r="D234" s="1464"/>
      <c r="E234" s="1472"/>
      <c r="F234" s="1458"/>
      <c r="G234" s="1454" t="str">
        <f>IF(E232="R / X in Per Unit","PU","%Z")</f>
        <v>%Z</v>
      </c>
      <c r="H234" s="1455"/>
      <c r="I234" s="1357"/>
      <c r="J234" s="1433" t="s">
        <v>147</v>
      </c>
      <c r="K234" s="1434"/>
      <c r="L234" s="1434"/>
      <c r="M234" s="1468" t="str">
        <f>IF(E230="","",SQRT((E216*J230+N230)^2+(E216*J231+N231)^2))</f>
        <v/>
      </c>
      <c r="N234" s="1468"/>
      <c r="O234" s="1468"/>
      <c r="P234" s="1469"/>
      <c r="Q234" s="1456"/>
      <c r="R234" s="1456"/>
      <c r="S234" s="1456"/>
      <c r="T234" s="1456"/>
      <c r="U234" s="1456"/>
      <c r="V234" s="1456"/>
      <c r="W234" s="1457"/>
    </row>
    <row r="235" spans="1:23" ht="12" hidden="1" customHeight="1">
      <c r="A235" s="1430"/>
      <c r="B235" s="1431"/>
      <c r="C235" s="1431"/>
      <c r="D235" s="1431"/>
      <c r="E235" s="1462"/>
      <c r="F235" s="1462"/>
      <c r="G235" s="1470"/>
      <c r="H235" s="1471"/>
      <c r="I235" s="1358"/>
      <c r="J235" s="1459"/>
      <c r="K235" s="1459"/>
      <c r="L235" s="1460"/>
      <c r="M235" s="1358"/>
      <c r="N235" s="1459"/>
      <c r="O235" s="1459"/>
      <c r="P235" s="1460"/>
      <c r="Q235" s="1489"/>
      <c r="R235" s="1489"/>
      <c r="S235" s="1489"/>
      <c r="T235" s="1489"/>
      <c r="U235" s="1489"/>
      <c r="V235" s="1489"/>
      <c r="W235" s="1490"/>
    </row>
    <row r="236" spans="1:23" ht="12" hidden="1" customHeight="1">
      <c r="A236" s="1430" t="s">
        <v>159</v>
      </c>
      <c r="B236" s="1431"/>
      <c r="C236" s="1431"/>
      <c r="D236" s="1431"/>
      <c r="E236" s="1432"/>
      <c r="F236" s="1432"/>
      <c r="G236" s="1454"/>
      <c r="H236" s="1455"/>
      <c r="I236" s="1357" t="s">
        <v>143</v>
      </c>
      <c r="J236" s="1468" t="str">
        <f>IF(E236="","",IF(E238="R / X in Per Unit",E239*100,100*($E$214/E239)/100*E240*COS(RADIANS($E$215))))</f>
        <v/>
      </c>
      <c r="K236" s="1468"/>
      <c r="L236" s="1469"/>
      <c r="M236" s="1357" t="s">
        <v>143</v>
      </c>
      <c r="N236" s="1461" t="str">
        <f>IF(E236="","",100*VLOOKUP("MATCH",$AD$314:$AO$331,11,))</f>
        <v/>
      </c>
      <c r="O236" s="1461"/>
      <c r="P236" s="1455"/>
      <c r="Q236" s="1456" t="str">
        <f>IF(E236="","",IF(ISERROR(VLOOKUP("MATCH",$AD$314:$AO$331,11,)),"Please check substation spelling",""))</f>
        <v/>
      </c>
      <c r="R236" s="1456"/>
      <c r="S236" s="1456"/>
      <c r="T236" s="1456"/>
      <c r="U236" s="1456"/>
      <c r="V236" s="1456"/>
      <c r="W236" s="1457"/>
    </row>
    <row r="237" spans="1:23" ht="12" hidden="1" customHeight="1">
      <c r="A237" s="1430" t="s">
        <v>156</v>
      </c>
      <c r="B237" s="1431"/>
      <c r="C237" s="1431"/>
      <c r="D237" s="1431"/>
      <c r="E237" s="1482"/>
      <c r="F237" s="1483"/>
      <c r="G237" s="1454"/>
      <c r="H237" s="1455"/>
      <c r="I237" s="1357" t="s">
        <v>145</v>
      </c>
      <c r="J237" s="1468" t="str">
        <f>IF(E236="","",IF(E238="R / X in Per Unit",E240*100,100*($E$214/E239)/100*E240*SIN(RADIANS($E$215))))</f>
        <v/>
      </c>
      <c r="K237" s="1468"/>
      <c r="L237" s="1469"/>
      <c r="M237" s="1357" t="s">
        <v>145</v>
      </c>
      <c r="N237" s="1461" t="str">
        <f>IF(E236="","",100*VLOOKUP("MATCH",$AD$314:$AO$331,12,))</f>
        <v/>
      </c>
      <c r="O237" s="1461"/>
      <c r="P237" s="1455"/>
      <c r="Q237" s="1456"/>
      <c r="R237" s="1456"/>
      <c r="S237" s="1456"/>
      <c r="T237" s="1456"/>
      <c r="U237" s="1456"/>
      <c r="V237" s="1456"/>
      <c r="W237" s="1457"/>
    </row>
    <row r="238" spans="1:23" ht="12" hidden="1" customHeight="1">
      <c r="A238" s="1435" t="s">
        <v>142</v>
      </c>
      <c r="B238" s="1436"/>
      <c r="C238" s="1436"/>
      <c r="D238" s="1437"/>
      <c r="E238" s="1498"/>
      <c r="F238" s="1432"/>
      <c r="G238" s="1345"/>
      <c r="H238" s="1346"/>
      <c r="I238" s="1357"/>
      <c r="J238" s="1348"/>
      <c r="K238" s="1348"/>
      <c r="L238" s="1348"/>
      <c r="M238" s="1347"/>
      <c r="N238" s="1350"/>
      <c r="O238" s="1350"/>
      <c r="P238" s="1346"/>
      <c r="Q238" s="1489"/>
      <c r="R238" s="1489"/>
      <c r="S238" s="1489"/>
      <c r="T238" s="1489"/>
      <c r="U238" s="1489"/>
      <c r="V238" s="1489"/>
      <c r="W238" s="1490"/>
    </row>
    <row r="239" spans="1:23" ht="12" hidden="1" customHeight="1">
      <c r="A239" s="1463" t="str">
        <f>IF(E238="R / X in Per Unit","Resistance (R Per Unit):","MVA rating(base):")</f>
        <v>MVA rating(base):</v>
      </c>
      <c r="B239" s="1464"/>
      <c r="C239" s="1464"/>
      <c r="D239" s="1464"/>
      <c r="E239" s="1472"/>
      <c r="F239" s="1458"/>
      <c r="G239" s="1454" t="str">
        <f>IF(E238="R / X in Per Unit","PU","MVA")</f>
        <v>MVA</v>
      </c>
      <c r="H239" s="1455"/>
      <c r="I239" s="1357"/>
      <c r="J239" s="1433" t="s">
        <v>147</v>
      </c>
      <c r="K239" s="1433"/>
      <c r="L239" s="1433"/>
      <c r="M239" s="1461" t="str">
        <f>IF(E236="","",ROUND(E216*J236+N236,4)&amp;" + j"&amp;ROUND(E216*J237+N237,4))</f>
        <v/>
      </c>
      <c r="N239" s="1461"/>
      <c r="O239" s="1461"/>
      <c r="P239" s="1455"/>
      <c r="Q239" s="1456"/>
      <c r="R239" s="1456"/>
      <c r="S239" s="1456"/>
      <c r="T239" s="1456"/>
      <c r="U239" s="1456"/>
      <c r="V239" s="1456"/>
      <c r="W239" s="1457"/>
    </row>
    <row r="240" spans="1:23" ht="12" hidden="1" customHeight="1">
      <c r="A240" s="1463" t="str">
        <f>IF(E238="R / X in Per Unit","Reactance (X Per Unit):","Impedance (%Z):")</f>
        <v>Impedance (%Z):</v>
      </c>
      <c r="B240" s="1464"/>
      <c r="C240" s="1464"/>
      <c r="D240" s="1464"/>
      <c r="E240" s="1472"/>
      <c r="F240" s="1458"/>
      <c r="G240" s="1454" t="str">
        <f>IF(E238="R / X in Per Unit","PU","%Z")</f>
        <v>%Z</v>
      </c>
      <c r="H240" s="1455"/>
      <c r="I240" s="1357"/>
      <c r="J240" s="1433" t="s">
        <v>147</v>
      </c>
      <c r="K240" s="1434"/>
      <c r="L240" s="1434"/>
      <c r="M240" s="1468" t="str">
        <f>IF(E236="","",SQRT((E216*J236+N236)^2+(E216*J237+N237)^2))</f>
        <v/>
      </c>
      <c r="N240" s="1468"/>
      <c r="O240" s="1468"/>
      <c r="P240" s="1469"/>
      <c r="Q240" s="1456"/>
      <c r="R240" s="1456"/>
      <c r="S240" s="1456"/>
      <c r="T240" s="1456"/>
      <c r="U240" s="1456"/>
      <c r="V240" s="1456"/>
      <c r="W240" s="1457"/>
    </row>
    <row r="241" spans="1:55" s="64" customFormat="1" ht="12" hidden="1" customHeight="1">
      <c r="A241" s="1430"/>
      <c r="B241" s="1431"/>
      <c r="C241" s="1431"/>
      <c r="D241" s="1431"/>
      <c r="E241" s="1462"/>
      <c r="F241" s="1462"/>
      <c r="G241" s="1470"/>
      <c r="H241" s="1471"/>
      <c r="I241" s="1358"/>
      <c r="J241" s="1459"/>
      <c r="K241" s="1459"/>
      <c r="L241" s="1460"/>
      <c r="M241" s="1358"/>
      <c r="N241" s="1459"/>
      <c r="O241" s="1459"/>
      <c r="P241" s="1460"/>
      <c r="Q241" s="1489"/>
      <c r="R241" s="1489"/>
      <c r="S241" s="1489"/>
      <c r="T241" s="1489"/>
      <c r="U241" s="1489"/>
      <c r="V241" s="1489"/>
      <c r="W241" s="1490"/>
      <c r="AZ241"/>
      <c r="BA241"/>
      <c r="BB241"/>
      <c r="BC241"/>
    </row>
    <row r="242" spans="1:55" s="64" customFormat="1" ht="12" hidden="1" customHeight="1">
      <c r="A242" s="1430" t="s">
        <v>160</v>
      </c>
      <c r="B242" s="1431"/>
      <c r="C242" s="1431"/>
      <c r="D242" s="1431"/>
      <c r="E242" s="1432"/>
      <c r="F242" s="1432"/>
      <c r="G242" s="1454"/>
      <c r="H242" s="1455"/>
      <c r="I242" s="1357" t="s">
        <v>143</v>
      </c>
      <c r="J242" s="1468" t="str">
        <f>IF(E242="","",IF(E244="R / X in Per Unit",E245*100,100*($E$214/E245)/100*E246*COS(RADIANS($E$215))))</f>
        <v/>
      </c>
      <c r="K242" s="1468"/>
      <c r="L242" s="1469"/>
      <c r="M242" s="1357" t="s">
        <v>143</v>
      </c>
      <c r="N242" s="1461" t="str">
        <f>IF(E242="","",100*VLOOKUP("MATCH",$AE$314:$AO$331,10,))</f>
        <v/>
      </c>
      <c r="O242" s="1461"/>
      <c r="P242" s="1455"/>
      <c r="Q242" s="1456" t="str">
        <f>IF(E242="","",IF(ISERROR(VLOOKUP("MATCH",$AE$314:$AO$331,10,)),"Please check substation spelling",""))</f>
        <v/>
      </c>
      <c r="R242" s="1456"/>
      <c r="S242" s="1456"/>
      <c r="T242" s="1456"/>
      <c r="U242" s="1456"/>
      <c r="V242" s="1456"/>
      <c r="W242" s="1457"/>
    </row>
    <row r="243" spans="1:55" s="64" customFormat="1" ht="12" hidden="1" customHeight="1">
      <c r="A243" s="1430" t="s">
        <v>156</v>
      </c>
      <c r="B243" s="1431"/>
      <c r="C243" s="1431"/>
      <c r="D243" s="1431"/>
      <c r="E243" s="1482"/>
      <c r="F243" s="1483"/>
      <c r="G243" s="1454"/>
      <c r="H243" s="1455"/>
      <c r="I243" s="1357" t="s">
        <v>145</v>
      </c>
      <c r="J243" s="1468" t="str">
        <f>IF(E242="","",IF(E244="R / X in Per Unit",E246*100,100*($E$214/E245)/100*E246*SIN(RADIANS($E$215))))</f>
        <v/>
      </c>
      <c r="K243" s="1468"/>
      <c r="L243" s="1469"/>
      <c r="M243" s="1357" t="s">
        <v>145</v>
      </c>
      <c r="N243" s="1461" t="str">
        <f>IF(E242="","",100*VLOOKUP("MATCH",$AE$314:$AO$331,11,))</f>
        <v/>
      </c>
      <c r="O243" s="1461"/>
      <c r="P243" s="1455"/>
      <c r="Q243" s="1456"/>
      <c r="R243" s="1456"/>
      <c r="S243" s="1456"/>
      <c r="T243" s="1456"/>
      <c r="U243" s="1456"/>
      <c r="V243" s="1456"/>
      <c r="W243" s="1457"/>
    </row>
    <row r="244" spans="1:55" s="64" customFormat="1" ht="12" hidden="1" customHeight="1">
      <c r="A244" s="1435" t="s">
        <v>142</v>
      </c>
      <c r="B244" s="1436"/>
      <c r="C244" s="1436"/>
      <c r="D244" s="1437"/>
      <c r="E244" s="1432"/>
      <c r="F244" s="1432"/>
      <c r="G244" s="1345"/>
      <c r="H244" s="1346"/>
      <c r="I244" s="1357"/>
      <c r="J244" s="1348"/>
      <c r="K244" s="1348"/>
      <c r="L244" s="1348"/>
      <c r="M244" s="1347"/>
      <c r="N244" s="1350"/>
      <c r="O244" s="1350"/>
      <c r="P244" s="1346"/>
      <c r="Q244" s="1489"/>
      <c r="R244" s="1489"/>
      <c r="S244" s="1489"/>
      <c r="T244" s="1489"/>
      <c r="U244" s="1489"/>
      <c r="V244" s="1489"/>
      <c r="W244" s="1490"/>
    </row>
    <row r="245" spans="1:55" ht="12" hidden="1" customHeight="1">
      <c r="A245" s="1463" t="str">
        <f>IF(E244="R / X in Per Unit","Resistance (R Per Unit):","MVA rating(base):")</f>
        <v>MVA rating(base):</v>
      </c>
      <c r="B245" s="1464"/>
      <c r="C245" s="1464"/>
      <c r="D245" s="1464"/>
      <c r="E245" s="1458"/>
      <c r="F245" s="1458"/>
      <c r="G245" s="1454" t="str">
        <f>IF(E244="R / X in Per Unit","PU","MVA")</f>
        <v>MVA</v>
      </c>
      <c r="H245" s="1455"/>
      <c r="I245" s="1357"/>
      <c r="J245" s="1433" t="s">
        <v>147</v>
      </c>
      <c r="K245" s="1433"/>
      <c r="L245" s="1433"/>
      <c r="M245" s="1461" t="str">
        <f>IF(E242="","",ROUND(E216*J242+N242,4)&amp;" + j"&amp;ROUND(E216*J243+N243,4))</f>
        <v/>
      </c>
      <c r="N245" s="1461"/>
      <c r="O245" s="1461"/>
      <c r="P245" s="1455"/>
      <c r="Q245" s="1456"/>
      <c r="R245" s="1456"/>
      <c r="S245" s="1456"/>
      <c r="T245" s="1456"/>
      <c r="U245" s="1456"/>
      <c r="V245" s="1456"/>
      <c r="W245" s="1457"/>
    </row>
    <row r="246" spans="1:55" ht="12" hidden="1" customHeight="1">
      <c r="A246" s="1463" t="str">
        <f>IF(E244="R / X in Per Unit","Reactance (X Per Unit):","Impedance (%Z):")</f>
        <v>Impedance (%Z):</v>
      </c>
      <c r="B246" s="1464"/>
      <c r="C246" s="1464"/>
      <c r="D246" s="1464"/>
      <c r="E246" s="1458"/>
      <c r="F246" s="1458"/>
      <c r="G246" s="1454" t="str">
        <f>IF(E244="R / X in Per Unit","PU","%Z")</f>
        <v>%Z</v>
      </c>
      <c r="H246" s="1455"/>
      <c r="I246" s="1357"/>
      <c r="J246" s="1433" t="s">
        <v>147</v>
      </c>
      <c r="K246" s="1434"/>
      <c r="L246" s="1434"/>
      <c r="M246" s="1468" t="str">
        <f>IF(E242="","",SQRT((E216*J242+N242)^2+(E216*J243+N243)^2))</f>
        <v/>
      </c>
      <c r="N246" s="1468"/>
      <c r="O246" s="1468"/>
      <c r="P246" s="1469"/>
      <c r="Q246" s="1456"/>
      <c r="R246" s="1456"/>
      <c r="S246" s="1456"/>
      <c r="T246" s="1456"/>
      <c r="U246" s="1456"/>
      <c r="V246" s="1456"/>
      <c r="W246" s="1457"/>
    </row>
    <row r="247" spans="1:55" ht="12" hidden="1" customHeight="1">
      <c r="A247" s="1430"/>
      <c r="B247" s="1431"/>
      <c r="C247" s="1431"/>
      <c r="D247" s="1431"/>
      <c r="E247" s="1462"/>
      <c r="F247" s="1462"/>
      <c r="G247" s="1470"/>
      <c r="H247" s="1471"/>
      <c r="I247" s="1358"/>
      <c r="J247" s="1459"/>
      <c r="K247" s="1459"/>
      <c r="L247" s="1460"/>
      <c r="M247" s="1358"/>
      <c r="N247" s="1459"/>
      <c r="O247" s="1459"/>
      <c r="P247" s="1460"/>
      <c r="Q247" s="1489"/>
      <c r="R247" s="1489"/>
      <c r="S247" s="1489"/>
      <c r="T247" s="1489"/>
      <c r="U247" s="1489"/>
      <c r="V247" s="1489"/>
      <c r="W247" s="1490"/>
    </row>
    <row r="248" spans="1:55" ht="13.2" hidden="1">
      <c r="A248" s="1430" t="s">
        <v>161</v>
      </c>
      <c r="B248" s="1431"/>
      <c r="C248" s="1431"/>
      <c r="D248" s="1431"/>
      <c r="E248" s="1432"/>
      <c r="F248" s="1432"/>
      <c r="G248" s="1454"/>
      <c r="H248" s="1455"/>
      <c r="I248" s="1357" t="s">
        <v>143</v>
      </c>
      <c r="J248" s="1468" t="str">
        <f>IF(E248="","",IF(E250="R / X in Per Unit",E251*100,100*($E$214/E251)/100*E252*COS(RADIANS($E$215))))</f>
        <v/>
      </c>
      <c r="K248" s="1468"/>
      <c r="L248" s="1469"/>
      <c r="M248" s="1357" t="s">
        <v>143</v>
      </c>
      <c r="N248" s="1461" t="str">
        <f>IF(E248="","",100*VLOOKUP("MATCH",$AF$314:$AO$331,9,))</f>
        <v/>
      </c>
      <c r="O248" s="1461"/>
      <c r="P248" s="1455"/>
      <c r="Q248" s="1456" t="str">
        <f>IF(E248="","",IF(ISERROR(VLOOKUP("MATCH",$AF$314:$AO$331,9,)),"Please check substation spelling",""))</f>
        <v/>
      </c>
      <c r="R248" s="1456"/>
      <c r="S248" s="1456"/>
      <c r="T248" s="1456"/>
      <c r="U248" s="1456"/>
      <c r="V248" s="1456"/>
      <c r="W248" s="1457"/>
    </row>
    <row r="249" spans="1:55" ht="12" hidden="1" customHeight="1">
      <c r="A249" s="1430" t="s">
        <v>156</v>
      </c>
      <c r="B249" s="1431"/>
      <c r="C249" s="1431"/>
      <c r="D249" s="1431"/>
      <c r="E249" s="1482"/>
      <c r="F249" s="1483"/>
      <c r="G249" s="1454"/>
      <c r="H249" s="1455"/>
      <c r="I249" s="1357" t="s">
        <v>145</v>
      </c>
      <c r="J249" s="1468" t="str">
        <f>IF(E248="","",IF(E250="R / X in Per Unit",E252*100,100*($E$214/E251)/100*E252*SIN(RADIANS($E$215))))</f>
        <v/>
      </c>
      <c r="K249" s="1468"/>
      <c r="L249" s="1469"/>
      <c r="M249" s="1357" t="s">
        <v>145</v>
      </c>
      <c r="N249" s="1461" t="str">
        <f>IF(E248="","",100*VLOOKUP("MATCH",$AF$314:$AO$331,10,))</f>
        <v/>
      </c>
      <c r="O249" s="1461"/>
      <c r="P249" s="1455"/>
      <c r="Q249" s="1456"/>
      <c r="R249" s="1456"/>
      <c r="S249" s="1456"/>
      <c r="T249" s="1456"/>
      <c r="U249" s="1456"/>
      <c r="V249" s="1456"/>
      <c r="W249" s="1457"/>
    </row>
    <row r="250" spans="1:55" ht="12" hidden="1" customHeight="1">
      <c r="A250" s="1435" t="s">
        <v>142</v>
      </c>
      <c r="B250" s="1436"/>
      <c r="C250" s="1436"/>
      <c r="D250" s="1437"/>
      <c r="E250" s="1432"/>
      <c r="F250" s="1432"/>
      <c r="G250" s="1345"/>
      <c r="H250" s="1346"/>
      <c r="I250" s="1357"/>
      <c r="J250" s="1348"/>
      <c r="K250" s="1348"/>
      <c r="L250" s="1348"/>
      <c r="M250" s="1347"/>
      <c r="N250" s="1350"/>
      <c r="O250" s="1350"/>
      <c r="P250" s="1346"/>
      <c r="Q250" s="1489"/>
      <c r="R250" s="1489"/>
      <c r="S250" s="1489"/>
      <c r="T250" s="1489"/>
      <c r="U250" s="1489"/>
      <c r="V250" s="1489"/>
      <c r="W250" s="1490"/>
    </row>
    <row r="251" spans="1:55" ht="12" hidden="1" customHeight="1">
      <c r="A251" s="1463" t="str">
        <f>IF(E250="R / X in Per Unit","Resistance (R Per Unit):","MVA rating(base):")</f>
        <v>MVA rating(base):</v>
      </c>
      <c r="B251" s="1464"/>
      <c r="C251" s="1464"/>
      <c r="D251" s="1464"/>
      <c r="E251" s="1458"/>
      <c r="F251" s="1458"/>
      <c r="G251" s="1454" t="str">
        <f>IF(E250="R / X in Per Unit","PU","MVA")</f>
        <v>MVA</v>
      </c>
      <c r="H251" s="1455"/>
      <c r="I251" s="1357"/>
      <c r="J251" s="1433" t="s">
        <v>147</v>
      </c>
      <c r="K251" s="1433"/>
      <c r="L251" s="1433"/>
      <c r="M251" s="1461" t="str">
        <f>IF(E248="","",ROUND(E216*J248+N248,4)&amp;" + j"&amp;ROUND(E216*J249+N249,4))</f>
        <v/>
      </c>
      <c r="N251" s="1461"/>
      <c r="O251" s="1461"/>
      <c r="P251" s="1455"/>
      <c r="Q251" s="1456"/>
      <c r="R251" s="1456"/>
      <c r="S251" s="1456"/>
      <c r="T251" s="1456"/>
      <c r="U251" s="1456"/>
      <c r="V251" s="1456"/>
      <c r="W251" s="1457"/>
    </row>
    <row r="252" spans="1:55" ht="12" hidden="1" customHeight="1">
      <c r="A252" s="1463" t="str">
        <f>IF(E250="R / X in Per Unit","Reactance (X Per Unit):","Impedance (%Z):")</f>
        <v>Impedance (%Z):</v>
      </c>
      <c r="B252" s="1464"/>
      <c r="C252" s="1464"/>
      <c r="D252" s="1464"/>
      <c r="E252" s="1458"/>
      <c r="F252" s="1458"/>
      <c r="G252" s="1454" t="str">
        <f>IF(E250="R / X in Per Unit","PU","%Z")</f>
        <v>%Z</v>
      </c>
      <c r="H252" s="1455"/>
      <c r="I252" s="1357"/>
      <c r="J252" s="1433" t="s">
        <v>147</v>
      </c>
      <c r="K252" s="1434"/>
      <c r="L252" s="1434"/>
      <c r="M252" s="1468" t="str">
        <f>IF(E248="","",SQRT((E216*J248+N248)^2+(E216*J249+N249)^2))</f>
        <v/>
      </c>
      <c r="N252" s="1468"/>
      <c r="O252" s="1468"/>
      <c r="P252" s="1469"/>
      <c r="Q252" s="1456"/>
      <c r="R252" s="1456"/>
      <c r="S252" s="1456"/>
      <c r="T252" s="1456"/>
      <c r="U252" s="1456"/>
      <c r="V252" s="1456"/>
      <c r="W252" s="1457"/>
    </row>
    <row r="253" spans="1:55" ht="12" hidden="1" customHeight="1">
      <c r="A253" s="1430"/>
      <c r="B253" s="1431"/>
      <c r="C253" s="1431"/>
      <c r="D253" s="1431"/>
      <c r="E253" s="1462"/>
      <c r="F253" s="1462"/>
      <c r="G253" s="1470"/>
      <c r="H253" s="1471"/>
      <c r="I253" s="1358"/>
      <c r="J253" s="1459"/>
      <c r="K253" s="1459"/>
      <c r="L253" s="1460"/>
      <c r="M253" s="1358"/>
      <c r="N253" s="1459"/>
      <c r="O253" s="1459"/>
      <c r="P253" s="1460"/>
      <c r="Q253" s="1489"/>
      <c r="R253" s="1489"/>
      <c r="S253" s="1489"/>
      <c r="T253" s="1489"/>
      <c r="U253" s="1489"/>
      <c r="V253" s="1489"/>
      <c r="W253" s="1490"/>
    </row>
    <row r="254" spans="1:55" ht="12" hidden="1" customHeight="1">
      <c r="A254" s="1430" t="s">
        <v>162</v>
      </c>
      <c r="B254" s="1431"/>
      <c r="C254" s="1431"/>
      <c r="D254" s="1431"/>
      <c r="E254" s="1432"/>
      <c r="F254" s="1432"/>
      <c r="G254" s="1454"/>
      <c r="H254" s="1455"/>
      <c r="I254" s="1357" t="s">
        <v>143</v>
      </c>
      <c r="J254" s="1468" t="str">
        <f>IF(E254="","",IF(E256="R / X in Per Unit",E257*100,100*($E$214/E257)/100*E258*COS(RADIANS($E$215))))</f>
        <v/>
      </c>
      <c r="K254" s="1468"/>
      <c r="L254" s="1469"/>
      <c r="M254" s="1357" t="s">
        <v>143</v>
      </c>
      <c r="N254" s="1461" t="str">
        <f>IF(E254="","",100*VLOOKUP("MATCH",$AG$314:$AO$331,8,))</f>
        <v/>
      </c>
      <c r="O254" s="1461"/>
      <c r="P254" s="1455"/>
      <c r="Q254" s="1456" t="str">
        <f>IF(E254="","",IF(ISERROR(VLOOKUP("MATCH",$AG$314:$AO$331,8,)),"Please check substation spelling",""))</f>
        <v/>
      </c>
      <c r="R254" s="1456"/>
      <c r="S254" s="1456"/>
      <c r="T254" s="1456"/>
      <c r="U254" s="1456"/>
      <c r="V254" s="1456"/>
      <c r="W254" s="1457"/>
    </row>
    <row r="255" spans="1:55" ht="12" hidden="1" customHeight="1">
      <c r="A255" s="1430" t="s">
        <v>156</v>
      </c>
      <c r="B255" s="1431"/>
      <c r="C255" s="1431"/>
      <c r="D255" s="1431"/>
      <c r="E255" s="1482"/>
      <c r="F255" s="1483"/>
      <c r="G255" s="1454"/>
      <c r="H255" s="1455"/>
      <c r="I255" s="1357" t="s">
        <v>145</v>
      </c>
      <c r="J255" s="1468" t="str">
        <f>IF(E254="","",IF(E256="R / X in Per Unit",E258*100,100*($E$214/E257)/100*E258*SIN(RADIANS($E$215))))</f>
        <v/>
      </c>
      <c r="K255" s="1468"/>
      <c r="L255" s="1469"/>
      <c r="M255" s="1357" t="s">
        <v>145</v>
      </c>
      <c r="N255" s="1461" t="str">
        <f>IF(E254="","",100*VLOOKUP("MATCH",$AG$314:$AO$331,9,))</f>
        <v/>
      </c>
      <c r="O255" s="1461"/>
      <c r="P255" s="1455"/>
      <c r="Q255" s="1456"/>
      <c r="R255" s="1456"/>
      <c r="S255" s="1456"/>
      <c r="T255" s="1456"/>
      <c r="U255" s="1456"/>
      <c r="V255" s="1456"/>
      <c r="W255" s="1457"/>
    </row>
    <row r="256" spans="1:55" ht="12" hidden="1" customHeight="1">
      <c r="A256" s="1435" t="s">
        <v>142</v>
      </c>
      <c r="B256" s="1436"/>
      <c r="C256" s="1436"/>
      <c r="D256" s="1437"/>
      <c r="E256" s="1432"/>
      <c r="F256" s="1432"/>
      <c r="G256" s="1345"/>
      <c r="H256" s="1346"/>
      <c r="I256" s="1357"/>
      <c r="J256" s="1348"/>
      <c r="K256" s="1348"/>
      <c r="L256" s="1348"/>
      <c r="M256" s="1347"/>
      <c r="N256" s="1350"/>
      <c r="O256" s="1350"/>
      <c r="P256" s="1346"/>
      <c r="Q256" s="1489"/>
      <c r="R256" s="1489"/>
      <c r="S256" s="1489"/>
      <c r="T256" s="1489"/>
      <c r="U256" s="1489"/>
      <c r="V256" s="1489"/>
      <c r="W256" s="1490"/>
    </row>
    <row r="257" spans="1:28" ht="12" hidden="1" customHeight="1">
      <c r="A257" s="1463" t="str">
        <f>IF(E256="R / X in Per Unit","Resistance (R Per Unit):","MVA rating(base):")</f>
        <v>MVA rating(base):</v>
      </c>
      <c r="B257" s="1464"/>
      <c r="C257" s="1464"/>
      <c r="D257" s="1464"/>
      <c r="E257" s="1458"/>
      <c r="F257" s="1458"/>
      <c r="G257" s="1454" t="str">
        <f>IF(E256="R / X in Per Unit","PU","MVA")</f>
        <v>MVA</v>
      </c>
      <c r="H257" s="1455"/>
      <c r="I257" s="1357"/>
      <c r="J257" s="1433" t="s">
        <v>147</v>
      </c>
      <c r="K257" s="1433"/>
      <c r="L257" s="1433"/>
      <c r="M257" s="1461" t="str">
        <f>IF(E254="","",ROUND(E216*J254+N254,4)&amp;" + j"&amp;ROUND(E216*J255+N255,4))</f>
        <v/>
      </c>
      <c r="N257" s="1461"/>
      <c r="O257" s="1461"/>
      <c r="P257" s="1455"/>
      <c r="Q257" s="1456"/>
      <c r="R257" s="1456"/>
      <c r="S257" s="1456"/>
      <c r="T257" s="1456"/>
      <c r="U257" s="1456"/>
      <c r="V257" s="1456"/>
      <c r="W257" s="1457"/>
    </row>
    <row r="258" spans="1:28" ht="12" hidden="1" customHeight="1">
      <c r="A258" s="1463" t="str">
        <f>IF(E256="R / X in Per Unit","Reactance (X Per Unit):","Impedance (%Z):")</f>
        <v>Impedance (%Z):</v>
      </c>
      <c r="B258" s="1464"/>
      <c r="C258" s="1464"/>
      <c r="D258" s="1464"/>
      <c r="E258" s="1458"/>
      <c r="F258" s="1458"/>
      <c r="G258" s="1454" t="str">
        <f>IF(E256="R / X in Per Unit","PU","%Z")</f>
        <v>%Z</v>
      </c>
      <c r="H258" s="1455"/>
      <c r="I258" s="1357"/>
      <c r="J258" s="1433" t="s">
        <v>147</v>
      </c>
      <c r="K258" s="1434"/>
      <c r="L258" s="1434"/>
      <c r="M258" s="1468" t="str">
        <f>IF(E254="","",SQRT((E216*J254+N254)^2+(E216*J255+N255)^2))</f>
        <v/>
      </c>
      <c r="N258" s="1468"/>
      <c r="O258" s="1468"/>
      <c r="P258" s="1469"/>
      <c r="Q258" s="1456"/>
      <c r="R258" s="1456"/>
      <c r="S258" s="1456"/>
      <c r="T258" s="1456"/>
      <c r="U258" s="1456"/>
      <c r="V258" s="1456"/>
      <c r="W258" s="1457"/>
    </row>
    <row r="259" spans="1:28" ht="12" hidden="1" customHeight="1">
      <c r="A259" s="1430"/>
      <c r="B259" s="1431"/>
      <c r="C259" s="1431"/>
      <c r="D259" s="1431"/>
      <c r="E259" s="1462"/>
      <c r="F259" s="1462"/>
      <c r="G259" s="1470"/>
      <c r="H259" s="1471"/>
      <c r="I259" s="1358"/>
      <c r="J259" s="1459"/>
      <c r="K259" s="1459"/>
      <c r="L259" s="1460"/>
      <c r="M259" s="1358"/>
      <c r="N259" s="1459"/>
      <c r="O259" s="1459"/>
      <c r="P259" s="1460"/>
      <c r="Q259" s="1489"/>
      <c r="R259" s="1489"/>
      <c r="S259" s="1489"/>
      <c r="T259" s="1489"/>
      <c r="U259" s="1489"/>
      <c r="V259" s="1489"/>
      <c r="W259" s="1490"/>
    </row>
    <row r="260" spans="1:28" ht="12" hidden="1" customHeight="1">
      <c r="A260" s="1430" t="s">
        <v>163</v>
      </c>
      <c r="B260" s="1431"/>
      <c r="C260" s="1431"/>
      <c r="D260" s="1431"/>
      <c r="E260" s="1432"/>
      <c r="F260" s="1432"/>
      <c r="G260" s="1454"/>
      <c r="H260" s="1455"/>
      <c r="I260" s="1357" t="s">
        <v>143</v>
      </c>
      <c r="J260" s="1468" t="str">
        <f>IF(E260="","",IF(E262="R / X in Per Unit",E263*100,100*($E$214/E263)/100*E264*COS(RADIANS($E$215))))</f>
        <v/>
      </c>
      <c r="K260" s="1468"/>
      <c r="L260" s="1469"/>
      <c r="M260" s="1357" t="s">
        <v>143</v>
      </c>
      <c r="N260" s="1461" t="str">
        <f>IF(E260="","",100*VLOOKUP("MATCH",$AH$314:$AO$331,7,))</f>
        <v/>
      </c>
      <c r="O260" s="1461"/>
      <c r="P260" s="1455"/>
      <c r="Q260" s="1456" t="str">
        <f>IF(E260="","",IF(ISERROR(VLOOKUP("MATCH",$AH$314:$AO$331,7,)),"Please check substation spelling",""))</f>
        <v/>
      </c>
      <c r="R260" s="1456"/>
      <c r="S260" s="1456"/>
      <c r="T260" s="1456"/>
      <c r="U260" s="1456"/>
      <c r="V260" s="1456"/>
      <c r="W260" s="1457"/>
    </row>
    <row r="261" spans="1:28" ht="12" hidden="1" customHeight="1">
      <c r="A261" s="1430" t="s">
        <v>156</v>
      </c>
      <c r="B261" s="1431"/>
      <c r="C261" s="1431"/>
      <c r="D261" s="1431"/>
      <c r="E261" s="1482"/>
      <c r="F261" s="1483"/>
      <c r="G261" s="1454"/>
      <c r="H261" s="1455"/>
      <c r="I261" s="1357" t="s">
        <v>145</v>
      </c>
      <c r="J261" s="1468" t="str">
        <f>IF(E260="","",IF(E262="R / X in Per Unit",E264*100,100*($E$214/E263)/100*E264*SIN(RADIANS($E$215))))</f>
        <v/>
      </c>
      <c r="K261" s="1468"/>
      <c r="L261" s="1469"/>
      <c r="M261" s="1357" t="s">
        <v>145</v>
      </c>
      <c r="N261" s="1461" t="str">
        <f>IF(E260="","",100*VLOOKUP("MATCH",$AH$314:$AO$331,8,))</f>
        <v/>
      </c>
      <c r="O261" s="1461"/>
      <c r="P261" s="1455"/>
      <c r="Q261" s="1456"/>
      <c r="R261" s="1456"/>
      <c r="S261" s="1456"/>
      <c r="T261" s="1456"/>
      <c r="U261" s="1456"/>
      <c r="V261" s="1456"/>
      <c r="W261" s="1457"/>
    </row>
    <row r="262" spans="1:28" ht="12" hidden="1" customHeight="1">
      <c r="A262" s="1435" t="s">
        <v>142</v>
      </c>
      <c r="B262" s="1436"/>
      <c r="C262" s="1436"/>
      <c r="D262" s="1437"/>
      <c r="E262" s="1432"/>
      <c r="F262" s="1432"/>
      <c r="G262" s="1345"/>
      <c r="H262" s="1346"/>
      <c r="I262" s="1357"/>
      <c r="J262" s="1348"/>
      <c r="K262" s="1348"/>
      <c r="L262" s="1348"/>
      <c r="M262" s="1347"/>
      <c r="N262" s="1350"/>
      <c r="O262" s="1350"/>
      <c r="P262" s="1346"/>
      <c r="Q262" s="1489"/>
      <c r="R262" s="1489"/>
      <c r="S262" s="1489"/>
      <c r="T262" s="1489"/>
      <c r="U262" s="1489"/>
      <c r="V262" s="1489"/>
      <c r="W262" s="1490"/>
    </row>
    <row r="263" spans="1:28" ht="12" hidden="1" customHeight="1">
      <c r="A263" s="1463" t="str">
        <f>IF(E262="R / X in Per Unit","Resistance (R Per Unit):","MVA rating(base):")</f>
        <v>MVA rating(base):</v>
      </c>
      <c r="B263" s="1464"/>
      <c r="C263" s="1464"/>
      <c r="D263" s="1464"/>
      <c r="E263" s="1458"/>
      <c r="F263" s="1458"/>
      <c r="G263" s="1454" t="str">
        <f>IF(E262="R / X in Per Unit","PU","MVA")</f>
        <v>MVA</v>
      </c>
      <c r="H263" s="1455"/>
      <c r="I263" s="1357"/>
      <c r="J263" s="1433" t="s">
        <v>147</v>
      </c>
      <c r="K263" s="1433"/>
      <c r="L263" s="1433"/>
      <c r="M263" s="1461" t="str">
        <f>IF(E260="","",ROUND(E216*J260+N260,4)&amp;" + j"&amp;ROUND(E216*J261+N261,4))</f>
        <v/>
      </c>
      <c r="N263" s="1461"/>
      <c r="O263" s="1461"/>
      <c r="P263" s="1455"/>
      <c r="Q263" s="1456"/>
      <c r="R263" s="1456"/>
      <c r="S263" s="1456"/>
      <c r="T263" s="1456"/>
      <c r="U263" s="1456"/>
      <c r="V263" s="1456"/>
      <c r="W263" s="1457"/>
    </row>
    <row r="264" spans="1:28" ht="12" hidden="1" customHeight="1" thickBot="1">
      <c r="A264" s="1487" t="str">
        <f>IF(E262="R / X in Per Unit","Reactance (X Per Unit):","Impedance (%Z):")</f>
        <v>Impedance (%Z):</v>
      </c>
      <c r="B264" s="1488"/>
      <c r="C264" s="1488"/>
      <c r="D264" s="1488"/>
      <c r="E264" s="1486"/>
      <c r="F264" s="1486"/>
      <c r="G264" s="1477" t="str">
        <f>IF(E262="R / X in Per Unit","PU","%Z")</f>
        <v>%Z</v>
      </c>
      <c r="H264" s="1478"/>
      <c r="I264" s="1152"/>
      <c r="J264" s="1494" t="s">
        <v>147</v>
      </c>
      <c r="K264" s="1495"/>
      <c r="L264" s="1495"/>
      <c r="M264" s="1474" t="str">
        <f>IF(E260="","",SQRT((E216*J260+N260)^2+(E216*J261+N261)^2))</f>
        <v/>
      </c>
      <c r="N264" s="1474"/>
      <c r="O264" s="1474"/>
      <c r="P264" s="1475"/>
      <c r="Q264" s="1452"/>
      <c r="R264" s="1452"/>
      <c r="S264" s="1452"/>
      <c r="T264" s="1452"/>
      <c r="U264" s="1452"/>
      <c r="V264" s="1452"/>
      <c r="W264" s="1453"/>
    </row>
    <row r="265" spans="1:28" ht="12" hidden="1" customHeight="1">
      <c r="A265" s="1496"/>
      <c r="B265" s="1496"/>
      <c r="C265" s="1496"/>
      <c r="D265" s="1496"/>
      <c r="E265" s="1496"/>
      <c r="F265" s="1496"/>
      <c r="G265" s="1496"/>
      <c r="H265" s="1496"/>
      <c r="I265" s="71"/>
      <c r="J265"/>
      <c r="K265" s="71"/>
      <c r="P265" s="1073"/>
      <c r="Q265" s="1073"/>
      <c r="R265" s="1073"/>
      <c r="S265" s="1073"/>
    </row>
    <row r="266" spans="1:28" ht="12" hidden="1" customHeight="1" thickBot="1">
      <c r="A266" s="130"/>
      <c r="B266" s="361"/>
      <c r="C266" s="439"/>
      <c r="E266" s="1153"/>
      <c r="F266" s="52"/>
      <c r="G266" s="1153"/>
      <c r="I266" s="1154"/>
      <c r="J266" s="52"/>
      <c r="K266" s="1154"/>
      <c r="L266" s="759"/>
      <c r="M266" s="387"/>
      <c r="N266" s="392"/>
      <c r="Q266" s="37"/>
      <c r="R266" s="51"/>
      <c r="S266" s="70"/>
      <c r="T266" s="142"/>
      <c r="U266" s="440"/>
    </row>
    <row r="267" spans="1:28" ht="18" thickBot="1">
      <c r="A267" s="1491" t="s">
        <v>164</v>
      </c>
      <c r="B267" s="1492"/>
      <c r="C267" s="1492"/>
      <c r="D267" s="1492"/>
      <c r="E267" s="1492"/>
      <c r="F267" s="1492"/>
      <c r="G267" s="1492"/>
      <c r="H267" s="1492"/>
      <c r="I267" s="1492"/>
      <c r="J267" s="1492"/>
      <c r="K267" s="1492"/>
      <c r="L267" s="1492"/>
      <c r="M267" s="1492"/>
      <c r="N267" s="1492"/>
      <c r="O267" s="1492"/>
      <c r="P267" s="1492"/>
      <c r="Q267" s="1492"/>
      <c r="R267" s="1492"/>
      <c r="S267" s="1492"/>
      <c r="T267" s="1492"/>
      <c r="U267" s="1492"/>
      <c r="V267" s="1492"/>
      <c r="W267" s="1493"/>
      <c r="AB267" s="33"/>
    </row>
    <row r="268" spans="1:28" ht="15">
      <c r="A268" s="1497" t="s">
        <v>26</v>
      </c>
      <c r="B268" s="1484"/>
      <c r="C268" s="1484"/>
      <c r="D268" s="1484"/>
      <c r="E268" s="1484" t="s">
        <v>27</v>
      </c>
      <c r="F268" s="1484"/>
      <c r="G268" s="1484"/>
      <c r="H268" s="1484"/>
      <c r="I268" s="1484" t="s">
        <v>28</v>
      </c>
      <c r="J268" s="1484"/>
      <c r="K268" s="1484"/>
      <c r="L268" s="1484"/>
      <c r="M268" s="1484"/>
      <c r="N268" s="1484"/>
      <c r="O268" s="1484"/>
      <c r="P268" s="1484"/>
      <c r="Q268" s="1484" t="s">
        <v>29</v>
      </c>
      <c r="R268" s="1484"/>
      <c r="S268" s="1484"/>
      <c r="T268" s="1484"/>
      <c r="U268" s="1484"/>
      <c r="V268" s="1484"/>
      <c r="W268" s="1485"/>
    </row>
    <row r="269" spans="1:28" ht="12" customHeight="1">
      <c r="A269" s="1430" t="s">
        <v>165</v>
      </c>
      <c r="B269" s="1431"/>
      <c r="C269" s="1431"/>
      <c r="D269" s="1431"/>
      <c r="E269" s="1476" t="s">
        <v>166</v>
      </c>
      <c r="F269" s="1476"/>
      <c r="G269" s="1456"/>
      <c r="H269" s="1456"/>
      <c r="I269" s="1456" t="s">
        <v>167</v>
      </c>
      <c r="J269" s="1456"/>
      <c r="K269" s="1456"/>
      <c r="L269" s="1456"/>
      <c r="M269" s="1456"/>
      <c r="N269" s="1456"/>
      <c r="O269" s="1456"/>
      <c r="P269" s="1456"/>
      <c r="Q269" s="1456"/>
      <c r="R269" s="1456"/>
      <c r="S269" s="1456"/>
      <c r="T269" s="1456"/>
      <c r="U269" s="1456"/>
      <c r="V269" s="1456"/>
      <c r="W269" s="1457"/>
    </row>
    <row r="270" spans="1:28" ht="12" customHeight="1">
      <c r="A270" s="1430" t="s">
        <v>168</v>
      </c>
      <c r="B270" s="1431"/>
      <c r="C270" s="1431"/>
      <c r="D270" s="1431"/>
      <c r="E270" s="1481"/>
      <c r="F270" s="1481"/>
      <c r="G270" s="1454"/>
      <c r="H270" s="1455"/>
      <c r="I270" s="1456" t="s">
        <v>169</v>
      </c>
      <c r="J270" s="1456"/>
      <c r="K270" s="1456"/>
      <c r="L270" s="1456"/>
      <c r="M270" s="1456"/>
      <c r="N270" s="1456"/>
      <c r="O270" s="1456"/>
      <c r="P270" s="1456"/>
      <c r="Q270" s="1456"/>
      <c r="R270" s="1456"/>
      <c r="S270" s="1456"/>
      <c r="T270" s="1456"/>
      <c r="U270" s="1456"/>
      <c r="V270" s="1456"/>
      <c r="W270" s="1457"/>
    </row>
    <row r="271" spans="1:28" ht="12" customHeight="1">
      <c r="A271" s="1463" t="s">
        <v>170</v>
      </c>
      <c r="B271" s="1464"/>
      <c r="C271" s="1464"/>
      <c r="D271" s="1464"/>
      <c r="E271" s="1481"/>
      <c r="F271" s="1481"/>
      <c r="G271" s="1456"/>
      <c r="H271" s="1456"/>
      <c r="I271" s="1456" t="s">
        <v>171</v>
      </c>
      <c r="J271" s="1456"/>
      <c r="K271" s="1456"/>
      <c r="L271" s="1456"/>
      <c r="M271" s="1456"/>
      <c r="N271" s="1456"/>
      <c r="O271" s="1456"/>
      <c r="P271" s="1456"/>
      <c r="Q271" s="1456" t="str">
        <f>IF(E271=E270,"The source cannot be the same as the reference voltage", "no problem")</f>
        <v>The source cannot be the same as the reference voltage</v>
      </c>
      <c r="R271" s="1456"/>
      <c r="S271" s="1456"/>
      <c r="T271" s="1456"/>
      <c r="U271" s="1456"/>
      <c r="V271" s="1456"/>
      <c r="W271" s="1457"/>
      <c r="Y271" s="322"/>
    </row>
    <row r="272" spans="1:28" ht="12" customHeight="1">
      <c r="A272" s="1430" t="s">
        <v>172</v>
      </c>
      <c r="B272" s="1431"/>
      <c r="C272" s="1431"/>
      <c r="D272" s="1431"/>
      <c r="E272" s="1481"/>
      <c r="F272" s="1481"/>
      <c r="G272" s="1456"/>
      <c r="H272" s="1456"/>
      <c r="I272" s="1456" t="s">
        <v>173</v>
      </c>
      <c r="J272" s="1456"/>
      <c r="K272" s="1456"/>
      <c r="L272" s="1456"/>
      <c r="M272" s="1456"/>
      <c r="N272" s="1456"/>
      <c r="O272" s="1456"/>
      <c r="P272" s="1456"/>
      <c r="Q272" s="1456"/>
      <c r="R272" s="1456"/>
      <c r="S272" s="1456"/>
      <c r="T272" s="1456"/>
      <c r="U272" s="1456"/>
      <c r="V272" s="1456"/>
      <c r="W272" s="1457"/>
      <c r="Y272" s="322"/>
    </row>
    <row r="273" spans="1:28" ht="12" customHeight="1">
      <c r="A273" s="1430" t="s">
        <v>174</v>
      </c>
      <c r="B273" s="1431"/>
      <c r="C273" s="1431"/>
      <c r="D273" s="1431"/>
      <c r="E273" s="1481"/>
      <c r="F273" s="1481"/>
      <c r="G273" s="1456"/>
      <c r="H273" s="1456"/>
      <c r="I273" s="1456" t="s">
        <v>175</v>
      </c>
      <c r="J273" s="1456"/>
      <c r="K273" s="1456"/>
      <c r="L273" s="1456"/>
      <c r="M273" s="1456"/>
      <c r="N273" s="1456"/>
      <c r="O273" s="1456"/>
      <c r="P273" s="1456"/>
      <c r="Q273" s="1456"/>
      <c r="R273" s="1456"/>
      <c r="S273" s="1456"/>
      <c r="T273" s="1456"/>
      <c r="U273" s="1456"/>
      <c r="V273" s="1456"/>
      <c r="W273" s="1457"/>
    </row>
    <row r="274" spans="1:28" ht="12" customHeight="1">
      <c r="A274" s="1463" t="s">
        <v>176</v>
      </c>
      <c r="B274" s="1464"/>
      <c r="C274" s="1464"/>
      <c r="D274" s="1464"/>
      <c r="E274" s="1479"/>
      <c r="F274" s="1479"/>
      <c r="G274" s="1480" t="s">
        <v>49</v>
      </c>
      <c r="H274" s="1456"/>
      <c r="I274" s="1456"/>
      <c r="J274" s="1456"/>
      <c r="K274" s="1456"/>
      <c r="L274" s="1456"/>
      <c r="M274" s="1456"/>
      <c r="N274" s="1456"/>
      <c r="O274" s="1456"/>
      <c r="P274" s="1456"/>
      <c r="Q274" s="1456" t="e">
        <f>IF(E274=AC404,"",IF(E274=AF404,"","Expected PTR is "&amp;AC404&amp;"/"&amp;AF404&amp;" for "&amp;AF405&amp;"/115V secondary"))</f>
        <v>#N/A</v>
      </c>
      <c r="R274" s="1456"/>
      <c r="S274" s="1456"/>
      <c r="T274" s="1456"/>
      <c r="U274" s="1456"/>
      <c r="V274" s="1456"/>
      <c r="W274" s="1457"/>
    </row>
    <row r="275" spans="1:28" ht="12" customHeight="1">
      <c r="A275" s="1463" t="s">
        <v>177</v>
      </c>
      <c r="B275" s="1464"/>
      <c r="C275" s="1464"/>
      <c r="D275" s="1464"/>
      <c r="E275" s="1479"/>
      <c r="F275" s="1479"/>
      <c r="G275" s="1480" t="s">
        <v>49</v>
      </c>
      <c r="H275" s="1480"/>
      <c r="I275" s="1456"/>
      <c r="J275" s="1456"/>
      <c r="K275" s="1456"/>
      <c r="L275" s="1456"/>
      <c r="M275" s="1456"/>
      <c r="N275" s="1456"/>
      <c r="O275" s="1456"/>
      <c r="P275" s="1456"/>
      <c r="Q275" s="1456" t="e">
        <f>IF(E275=AC404,"",IF(E275=AF404,"","Expected PTR is "&amp;AC404&amp;"/"&amp;AF404&amp;" for "&amp;AF405&amp;"/115V secondary"))</f>
        <v>#N/A</v>
      </c>
      <c r="R275" s="1456"/>
      <c r="S275" s="1456"/>
      <c r="T275" s="1456"/>
      <c r="U275" s="1456"/>
      <c r="V275" s="1456"/>
      <c r="W275" s="1457"/>
    </row>
    <row r="276" spans="1:28" ht="12" customHeight="1" thickBot="1">
      <c r="A276" s="1465" t="s">
        <v>178</v>
      </c>
      <c r="B276" s="1466"/>
      <c r="C276" s="1466"/>
      <c r="D276" s="1466"/>
      <c r="E276" s="1467"/>
      <c r="F276" s="1467"/>
      <c r="G276" s="1473" t="s">
        <v>49</v>
      </c>
      <c r="H276" s="1473"/>
      <c r="I276" s="1452"/>
      <c r="J276" s="1452"/>
      <c r="K276" s="1452"/>
      <c r="L276" s="1452"/>
      <c r="M276" s="1452"/>
      <c r="N276" s="1452"/>
      <c r="O276" s="1452"/>
      <c r="P276" s="1452"/>
      <c r="Q276" s="1452" t="e">
        <f>IF(E276=AC404,"",IF(E276=AF404,"","Expected PTR is "&amp;AC404&amp;"/"&amp;AF404&amp;" for "&amp;AF405&amp;"/115V secondary"))</f>
        <v>#N/A</v>
      </c>
      <c r="R276" s="1452"/>
      <c r="S276" s="1452"/>
      <c r="T276" s="1452"/>
      <c r="U276" s="1452"/>
      <c r="V276" s="1452"/>
      <c r="W276" s="1453"/>
    </row>
    <row r="277" spans="1:28" ht="12" customHeight="1" thickBot="1">
      <c r="A277" s="1138"/>
      <c r="B277" s="1138"/>
      <c r="C277" s="1138"/>
      <c r="D277" s="1138"/>
      <c r="E277" s="1138"/>
      <c r="F277" s="1138"/>
      <c r="G277" s="1138"/>
      <c r="H277" s="1138"/>
      <c r="I277" s="586"/>
      <c r="J277" s="586"/>
      <c r="K277" s="1155"/>
      <c r="L277" s="1156"/>
      <c r="M277" s="731"/>
      <c r="N277" s="759"/>
      <c r="O277" s="442"/>
      <c r="P277" s="392"/>
      <c r="Q277" s="1157"/>
      <c r="R277" s="392"/>
      <c r="S277" s="731"/>
      <c r="T277" s="107"/>
      <c r="U277" s="107"/>
    </row>
    <row r="278" spans="1:28" ht="18" thickBot="1">
      <c r="A278" s="1702" t="s">
        <v>179</v>
      </c>
      <c r="B278" s="1703"/>
      <c r="C278" s="1703"/>
      <c r="D278" s="1703"/>
      <c r="E278" s="1703"/>
      <c r="F278" s="1703"/>
      <c r="G278" s="1703"/>
      <c r="H278" s="1703"/>
      <c r="I278" s="1703"/>
      <c r="J278" s="1703"/>
      <c r="K278" s="1703"/>
      <c r="L278" s="1703"/>
      <c r="M278" s="1703"/>
      <c r="N278" s="1703"/>
      <c r="O278" s="1703"/>
      <c r="P278" s="1703"/>
      <c r="Q278" s="1703"/>
      <c r="R278" s="1703"/>
      <c r="S278" s="1703"/>
      <c r="T278" s="1703"/>
      <c r="U278" s="1703"/>
      <c r="V278" s="1703"/>
      <c r="W278" s="1704"/>
      <c r="AB278" s="33"/>
    </row>
    <row r="279" spans="1:28" ht="15">
      <c r="A279" s="1497" t="s">
        <v>26</v>
      </c>
      <c r="B279" s="1484"/>
      <c r="C279" s="1484"/>
      <c r="D279" s="1484"/>
      <c r="E279" s="1484" t="s">
        <v>27</v>
      </c>
      <c r="F279" s="1484"/>
      <c r="G279" s="1484"/>
      <c r="H279" s="1484"/>
      <c r="I279" s="1484" t="s">
        <v>28</v>
      </c>
      <c r="J279" s="1484"/>
      <c r="K279" s="1484"/>
      <c r="L279" s="1484"/>
      <c r="M279" s="1484"/>
      <c r="N279" s="1484"/>
      <c r="O279" s="1484"/>
      <c r="P279" s="1484"/>
      <c r="Q279" s="1484" t="s">
        <v>180</v>
      </c>
      <c r="R279" s="1484"/>
      <c r="S279" s="1484"/>
      <c r="T279" s="1484"/>
      <c r="U279" s="1484"/>
      <c r="V279" s="1484"/>
      <c r="W279" s="1485"/>
    </row>
    <row r="280" spans="1:28" ht="15" customHeight="1">
      <c r="A280" s="1705" t="s">
        <v>181</v>
      </c>
      <c r="B280" s="1706"/>
      <c r="C280" s="1706"/>
      <c r="D280" s="1706"/>
      <c r="E280" s="1707"/>
      <c r="F280" s="1707"/>
      <c r="G280" s="1708" t="s">
        <v>69</v>
      </c>
      <c r="H280" s="1709"/>
      <c r="I280" s="1710" t="s">
        <v>33</v>
      </c>
      <c r="J280" s="1710"/>
      <c r="K280" s="1710"/>
      <c r="L280" s="1710"/>
      <c r="M280" s="1710"/>
      <c r="N280" s="1710"/>
      <c r="O280" s="1710"/>
      <c r="P280" s="1710"/>
      <c r="Q280" s="1710"/>
      <c r="R280" s="1710"/>
      <c r="S280" s="1710"/>
      <c r="T280" s="1710"/>
      <c r="U280" s="1710"/>
      <c r="V280" s="1710"/>
      <c r="W280" s="1711"/>
    </row>
    <row r="281" spans="1:28" ht="27" customHeight="1">
      <c r="A281" s="1705" t="s">
        <v>182</v>
      </c>
      <c r="B281" s="1706"/>
      <c r="C281" s="1706"/>
      <c r="D281" s="1706"/>
      <c r="E281" s="1737"/>
      <c r="F281" s="1737"/>
      <c r="G281" s="1708" t="s">
        <v>183</v>
      </c>
      <c r="H281" s="1709"/>
      <c r="I281" s="1720" t="s">
        <v>184</v>
      </c>
      <c r="J281" s="1721"/>
      <c r="K281" s="1721"/>
      <c r="L281" s="1721"/>
      <c r="M281" s="1721"/>
      <c r="N281" s="1721"/>
      <c r="O281" s="1721"/>
      <c r="P281" s="1722"/>
      <c r="Q281" s="1710"/>
      <c r="R281" s="1710"/>
      <c r="S281" s="1710"/>
      <c r="T281" s="1710"/>
      <c r="U281" s="1710"/>
      <c r="V281" s="1710"/>
      <c r="W281" s="1711"/>
    </row>
    <row r="282" spans="1:28" ht="42" customHeight="1">
      <c r="A282" s="1715" t="s">
        <v>185</v>
      </c>
      <c r="B282" s="1716"/>
      <c r="C282" s="1716"/>
      <c r="D282" s="1717"/>
      <c r="E282" s="1718"/>
      <c r="F282" s="1719"/>
      <c r="G282" s="1708" t="s">
        <v>183</v>
      </c>
      <c r="H282" s="1709"/>
      <c r="I282" s="1720" t="s">
        <v>186</v>
      </c>
      <c r="J282" s="1721"/>
      <c r="K282" s="1721"/>
      <c r="L282" s="1721"/>
      <c r="M282" s="1721"/>
      <c r="N282" s="1721"/>
      <c r="O282" s="1721"/>
      <c r="P282" s="1722"/>
      <c r="Q282" s="1723" t="s">
        <v>187</v>
      </c>
      <c r="R282" s="1724"/>
      <c r="S282" s="1724"/>
      <c r="T282" s="1724"/>
      <c r="U282" s="1724"/>
      <c r="V282" s="1724"/>
      <c r="W282" s="1725"/>
    </row>
    <row r="283" spans="1:28" ht="15.75" customHeight="1">
      <c r="A283" s="1705" t="s">
        <v>188</v>
      </c>
      <c r="B283" s="1706"/>
      <c r="C283" s="1706"/>
      <c r="D283" s="1706"/>
      <c r="E283" s="1707"/>
      <c r="F283" s="1707"/>
      <c r="G283" s="1708" t="s">
        <v>69</v>
      </c>
      <c r="H283" s="1709"/>
      <c r="I283" s="1710"/>
      <c r="J283" s="1710"/>
      <c r="K283" s="1710"/>
      <c r="L283" s="1710"/>
      <c r="M283" s="1710"/>
      <c r="N283" s="1710"/>
      <c r="O283" s="1710"/>
      <c r="P283" s="1710"/>
      <c r="Q283" s="1710"/>
      <c r="R283" s="1710"/>
      <c r="S283" s="1710"/>
      <c r="T283" s="1710"/>
      <c r="U283" s="1710"/>
      <c r="V283" s="1710"/>
      <c r="W283" s="1711"/>
    </row>
    <row r="284" spans="1:28" ht="26.25" customHeight="1">
      <c r="A284" s="1726" t="s">
        <v>189</v>
      </c>
      <c r="B284" s="1727"/>
      <c r="C284" s="1727"/>
      <c r="D284" s="1728"/>
      <c r="E284" s="1742"/>
      <c r="F284" s="1742"/>
      <c r="G284" s="1708" t="s">
        <v>190</v>
      </c>
      <c r="H284" s="1709"/>
      <c r="I284" s="1720" t="s">
        <v>191</v>
      </c>
      <c r="J284" s="1721"/>
      <c r="K284" s="1721"/>
      <c r="L284" s="1721"/>
      <c r="M284" s="1721"/>
      <c r="N284" s="1721"/>
      <c r="O284" s="1721"/>
      <c r="P284" s="1722"/>
      <c r="Q284" s="1710"/>
      <c r="R284" s="1710"/>
      <c r="S284" s="1710"/>
      <c r="T284" s="1710"/>
      <c r="U284" s="1710"/>
      <c r="V284" s="1710"/>
      <c r="W284" s="1711"/>
    </row>
    <row r="285" spans="1:28" ht="31.5" customHeight="1">
      <c r="A285" s="1726" t="s">
        <v>192</v>
      </c>
      <c r="B285" s="1727"/>
      <c r="C285" s="1727"/>
      <c r="D285" s="1728"/>
      <c r="E285" s="1707"/>
      <c r="F285" s="1707"/>
      <c r="G285" s="1708" t="s">
        <v>69</v>
      </c>
      <c r="H285" s="1709"/>
      <c r="I285" s="1710" t="s">
        <v>193</v>
      </c>
      <c r="J285" s="1710"/>
      <c r="K285" s="1710"/>
      <c r="L285" s="1710"/>
      <c r="M285" s="1710"/>
      <c r="N285" s="1710"/>
      <c r="O285" s="1710"/>
      <c r="P285" s="1710"/>
      <c r="Q285" s="1710"/>
      <c r="R285" s="1710"/>
      <c r="S285" s="1710"/>
      <c r="T285" s="1710"/>
      <c r="U285" s="1710"/>
      <c r="V285" s="1710"/>
      <c r="W285" s="1711"/>
    </row>
    <row r="286" spans="1:28" ht="31.5" customHeight="1" thickBot="1">
      <c r="A286" s="1729" t="s">
        <v>194</v>
      </c>
      <c r="B286" s="1730"/>
      <c r="C286" s="1730"/>
      <c r="D286" s="1731" t="s">
        <v>195</v>
      </c>
      <c r="E286" s="1732"/>
      <c r="F286" s="1732"/>
      <c r="G286" s="1733" t="s">
        <v>69</v>
      </c>
      <c r="H286" s="1734"/>
      <c r="I286" s="1735" t="s">
        <v>193</v>
      </c>
      <c r="J286" s="1735"/>
      <c r="K286" s="1735"/>
      <c r="L286" s="1735"/>
      <c r="M286" s="1735"/>
      <c r="N286" s="1735"/>
      <c r="O286" s="1735"/>
      <c r="P286" s="1735"/>
      <c r="Q286" s="1735"/>
      <c r="R286" s="1735"/>
      <c r="S286" s="1735"/>
      <c r="T286" s="1735"/>
      <c r="U286" s="1735"/>
      <c r="V286" s="1735"/>
      <c r="W286" s="1736"/>
    </row>
    <row r="287" spans="1:28" s="41" customFormat="1" ht="12" customHeight="1">
      <c r="A287"/>
      <c r="B287" s="33"/>
      <c r="C287" s="71"/>
      <c r="D287" s="37"/>
      <c r="E287" s="101"/>
      <c r="F287" s="51"/>
      <c r="G287" s="101"/>
      <c r="H287" s="37"/>
      <c r="I287" s="73"/>
      <c r="J287"/>
      <c r="K287" s="101"/>
      <c r="L287" s="364"/>
      <c r="M287" s="73"/>
      <c r="N287"/>
      <c r="O287"/>
      <c r="P287"/>
      <c r="Q287" s="71"/>
      <c r="R287"/>
      <c r="S287"/>
      <c r="T287"/>
      <c r="U287" s="1158"/>
      <c r="V287"/>
      <c r="W287"/>
      <c r="X287" s="670"/>
      <c r="Y287" s="670"/>
      <c r="Z287" s="670"/>
      <c r="AA287" s="670"/>
      <c r="AB287" s="670"/>
    </row>
    <row r="288" spans="1:28" ht="12" customHeight="1">
      <c r="B288"/>
      <c r="C288" s="46"/>
      <c r="D288" s="52"/>
      <c r="E288"/>
      <c r="F288"/>
      <c r="G288"/>
      <c r="H288"/>
      <c r="J288" s="1159"/>
      <c r="K288" s="1123"/>
      <c r="L288" s="364"/>
      <c r="M288" s="38"/>
      <c r="S288" s="444"/>
      <c r="T288" s="47"/>
      <c r="U288" s="440"/>
    </row>
    <row r="289" spans="1:23" ht="12" customHeight="1">
      <c r="A289" s="1123"/>
      <c r="B289"/>
      <c r="C289"/>
      <c r="D289" s="33"/>
      <c r="E289" s="1123"/>
      <c r="F289" s="1123"/>
      <c r="G289" s="1123"/>
      <c r="H289" s="1123"/>
      <c r="I289" s="1123"/>
      <c r="J289" s="37"/>
      <c r="K289"/>
      <c r="L289" s="364"/>
      <c r="M289" s="38"/>
      <c r="S289" s="1123"/>
      <c r="U289" s="107"/>
    </row>
    <row r="290" spans="1:23" s="41" customFormat="1" ht="12" customHeight="1">
      <c r="A290" s="155"/>
      <c r="B290"/>
      <c r="C290"/>
      <c r="D290" s="33"/>
      <c r="E290" s="1123"/>
      <c r="F290" s="1123"/>
      <c r="G290" s="1123"/>
      <c r="H290" s="1123"/>
      <c r="I290" s="1123"/>
      <c r="J290" s="37"/>
      <c r="K290"/>
      <c r="L290" s="364"/>
      <c r="M290" s="38"/>
      <c r="N290"/>
      <c r="O290"/>
      <c r="P290"/>
      <c r="Q290"/>
      <c r="R290"/>
      <c r="S290" s="445"/>
      <c r="T290"/>
      <c r="U290" s="71"/>
      <c r="V290"/>
      <c r="W290"/>
    </row>
    <row r="291" spans="1:23" s="41" customFormat="1" ht="12" customHeight="1">
      <c r="A291" s="446"/>
      <c r="B291" s="142"/>
      <c r="C291" s="443"/>
      <c r="D291" s="37"/>
      <c r="E291" s="1385"/>
      <c r="F291" s="47"/>
      <c r="G291" s="51"/>
      <c r="H291" s="51"/>
      <c r="I291" s="447"/>
      <c r="J291" s="37"/>
      <c r="K291" s="314"/>
      <c r="L291" s="51"/>
      <c r="M291" s="142"/>
      <c r="N291" s="52"/>
      <c r="O291" s="70"/>
      <c r="P291" s="51"/>
      <c r="Q291" s="440"/>
      <c r="R291"/>
      <c r="S291" s="441"/>
      <c r="T291"/>
      <c r="U291" s="46"/>
      <c r="V291" s="46"/>
      <c r="W291" s="46"/>
    </row>
    <row r="292" spans="1:23" s="41" customFormat="1" ht="12" customHeight="1">
      <c r="A292" s="71"/>
      <c r="B292" s="37"/>
      <c r="C292" s="331"/>
      <c r="D292" s="37"/>
      <c r="E292" s="71"/>
      <c r="F292" s="51"/>
      <c r="G292" s="101"/>
      <c r="H292" s="37"/>
      <c r="I292" s="101"/>
      <c r="J292" s="364"/>
      <c r="K292" s="71"/>
      <c r="L292"/>
      <c r="M292" s="71"/>
      <c r="N292"/>
      <c r="O292" s="73"/>
      <c r="P292"/>
      <c r="Q292" s="71"/>
      <c r="R292"/>
      <c r="S292" s="670"/>
      <c r="T292"/>
      <c r="U292" s="38"/>
      <c r="V292" s="670"/>
      <c r="W292" s="670"/>
    </row>
    <row r="293" spans="1:23" s="41" customFormat="1" ht="12" customHeight="1">
      <c r="A293" s="1123"/>
      <c r="B293" s="33"/>
      <c r="C293" s="1123"/>
      <c r="D293" s="1738"/>
      <c r="E293" s="1738"/>
      <c r="F293" s="1738"/>
      <c r="G293" s="1738"/>
      <c r="H293" s="1738"/>
      <c r="I293" s="1738"/>
      <c r="J293" s="1738"/>
      <c r="K293" s="1738"/>
      <c r="L293" s="1738"/>
      <c r="M293" s="1738"/>
      <c r="N293" s="1738"/>
      <c r="O293" s="1738"/>
      <c r="P293" s="1738"/>
      <c r="Q293" s="1738"/>
      <c r="R293"/>
      <c r="S293" s="670"/>
      <c r="T293" s="670"/>
      <c r="U293" s="670"/>
      <c r="V293" s="670"/>
      <c r="W293" s="670"/>
    </row>
    <row r="294" spans="1:23" s="41" customFormat="1" ht="12" customHeight="1">
      <c r="A294" s="155"/>
      <c r="B294" s="33"/>
      <c r="C294" s="1123"/>
      <c r="D294" s="1738"/>
      <c r="E294" s="1738"/>
      <c r="F294" s="1738"/>
      <c r="G294" s="1738"/>
      <c r="H294" s="1738"/>
      <c r="I294" s="1738"/>
      <c r="J294" s="1738"/>
      <c r="K294" s="1738"/>
      <c r="L294" s="1738"/>
      <c r="M294" s="1738"/>
      <c r="N294" s="1738"/>
      <c r="O294" s="1738"/>
      <c r="P294" s="1738"/>
      <c r="Q294" s="1738"/>
      <c r="R294"/>
      <c r="S294" s="670"/>
      <c r="T294" s="670"/>
      <c r="U294" s="1158"/>
      <c r="V294" s="670"/>
      <c r="W294" s="670"/>
    </row>
    <row r="295" spans="1:23" s="41" customFormat="1" ht="12" customHeight="1">
      <c r="A295" s="446"/>
      <c r="B295" s="142"/>
      <c r="C295" s="443"/>
      <c r="D295" s="37"/>
      <c r="E295" s="1385"/>
      <c r="F295" s="47"/>
      <c r="G295" s="51"/>
      <c r="H295" s="51"/>
      <c r="I295" s="447"/>
      <c r="J295" s="37"/>
      <c r="K295" s="314"/>
      <c r="L295" s="51"/>
      <c r="M295" s="142"/>
      <c r="N295" s="52"/>
      <c r="O295" s="70"/>
      <c r="P295" s="51"/>
      <c r="Q295" s="1160"/>
      <c r="R295" s="51"/>
      <c r="S295" s="1129"/>
      <c r="T295" s="1161"/>
      <c r="U295" s="440"/>
      <c r="V295" s="670"/>
      <c r="W295" s="670"/>
    </row>
    <row r="296" spans="1:23" s="41" customFormat="1" ht="12" customHeight="1">
      <c r="A296" s="71"/>
      <c r="B296" s="37"/>
      <c r="C296" s="331"/>
      <c r="D296" s="37"/>
      <c r="E296" s="71"/>
      <c r="F296" s="51"/>
      <c r="G296" s="101"/>
      <c r="H296" s="37"/>
      <c r="I296" s="101"/>
      <c r="J296" s="364"/>
      <c r="K296" s="71"/>
      <c r="L296"/>
      <c r="M296" s="71"/>
      <c r="N296"/>
      <c r="O296" s="73"/>
      <c r="P296"/>
      <c r="Q296" s="73"/>
      <c r="R296"/>
      <c r="S296" s="73"/>
      <c r="T296" s="73"/>
      <c r="U296" s="107"/>
      <c r="V296"/>
      <c r="W296"/>
    </row>
    <row r="297" spans="1:23" s="41" customFormat="1" ht="12" customHeight="1">
      <c r="A297" s="71"/>
      <c r="B297" s="37"/>
      <c r="C297" s="331"/>
      <c r="D297" s="37"/>
      <c r="E297" s="71"/>
      <c r="F297" s="51"/>
      <c r="G297" s="101"/>
      <c r="H297" s="37"/>
      <c r="I297" s="101"/>
      <c r="J297" s="364"/>
      <c r="K297" s="71"/>
      <c r="L297"/>
      <c r="M297" s="71"/>
      <c r="N297"/>
      <c r="O297" s="73"/>
      <c r="P297"/>
      <c r="Q297" s="73"/>
      <c r="R297"/>
      <c r="S297" s="73"/>
      <c r="T297" s="73"/>
      <c r="U297" s="107"/>
      <c r="V297"/>
      <c r="W297"/>
    </row>
    <row r="298" spans="1:23" s="41" customFormat="1" ht="12" customHeight="1">
      <c r="A298" s="46"/>
      <c r="B298" s="46"/>
      <c r="C298" s="46"/>
      <c r="D298" s="46"/>
      <c r="E298" s="46"/>
      <c r="F298" s="46"/>
      <c r="G298" s="46"/>
      <c r="H298" s="46"/>
      <c r="I298" s="46"/>
      <c r="J298" s="46"/>
      <c r="K298" s="46"/>
      <c r="L298" s="46"/>
      <c r="M298"/>
      <c r="N298"/>
      <c r="O298" s="1738"/>
      <c r="P298" s="1738"/>
      <c r="Q298" s="1738"/>
      <c r="R298" s="1738"/>
      <c r="S298" s="1738"/>
      <c r="T298" s="1738"/>
      <c r="U298" s="1738"/>
      <c r="V298" s="670"/>
      <c r="W298" s="670"/>
    </row>
    <row r="299" spans="1:23" s="41" customFormat="1" ht="12" customHeight="1">
      <c r="A299" s="1739"/>
      <c r="B299" s="1739"/>
      <c r="C299" s="1739"/>
      <c r="D299" s="1739"/>
      <c r="E299" s="1739"/>
      <c r="F299" s="1739"/>
      <c r="G299" s="1739"/>
      <c r="H299" s="1739"/>
      <c r="I299" s="1740"/>
      <c r="J299" s="1740"/>
      <c r="K299" s="670"/>
      <c r="L299" s="670"/>
      <c r="M299" s="670"/>
      <c r="N299" s="670"/>
      <c r="O299" s="670"/>
      <c r="P299" s="1024"/>
      <c r="Q299" s="670"/>
      <c r="R299" s="1155"/>
      <c r="S299" s="349"/>
      <c r="T299" s="1129"/>
      <c r="U299" s="1129"/>
      <c r="V299"/>
      <c r="W299"/>
    </row>
    <row r="300" spans="1:23" s="41" customFormat="1" ht="12" customHeight="1">
      <c r="A300" s="1739"/>
      <c r="B300" s="1739"/>
      <c r="C300" s="1739"/>
      <c r="D300" s="1739"/>
      <c r="E300" s="1739"/>
      <c r="F300" s="1739"/>
      <c r="G300" s="1739"/>
      <c r="H300" s="1739"/>
      <c r="I300" s="1740"/>
      <c r="J300" s="1740"/>
      <c r="K300" s="158"/>
      <c r="L300" s="145"/>
      <c r="M300" s="323"/>
      <c r="N300" s="47"/>
      <c r="O300" s="118"/>
      <c r="P300" s="392"/>
      <c r="Q300" s="107"/>
      <c r="R300" s="759"/>
      <c r="S300" s="122"/>
      <c r="T300" s="392"/>
      <c r="U300" s="107"/>
      <c r="V300"/>
      <c r="W300"/>
    </row>
    <row r="301" spans="1:23" s="41" customFormat="1" ht="12" customHeight="1">
      <c r="A301" s="1739"/>
      <c r="B301" s="1739"/>
      <c r="C301" s="1739"/>
      <c r="D301" s="1739"/>
      <c r="E301" s="1739"/>
      <c r="F301" s="1739"/>
      <c r="G301" s="1739"/>
      <c r="H301" s="1739"/>
      <c r="I301" s="1740"/>
      <c r="J301" s="1740"/>
      <c r="K301" s="670"/>
      <c r="L301" s="670"/>
      <c r="M301" s="670"/>
      <c r="N301" s="1024"/>
      <c r="O301" s="442"/>
      <c r="P301" s="670"/>
      <c r="Q301" s="1157"/>
      <c r="R301" s="670"/>
      <c r="S301" s="670"/>
      <c r="T301" s="670"/>
      <c r="U301" s="670"/>
      <c r="V301"/>
      <c r="W301"/>
    </row>
    <row r="302" spans="1:23" s="41" customFormat="1" ht="12" customHeight="1">
      <c r="A302"/>
      <c r="B302" s="33"/>
      <c r="C302" s="33"/>
      <c r="D302" s="37"/>
      <c r="E302" s="53"/>
      <c r="F302" s="51"/>
      <c r="G302" s="36"/>
      <c r="H302" s="37"/>
      <c r="I302"/>
      <c r="J302" s="364"/>
      <c r="K302" s="38"/>
      <c r="L302"/>
      <c r="M302"/>
      <c r="N302"/>
      <c r="O302"/>
      <c r="P302"/>
      <c r="Q302"/>
      <c r="R302"/>
      <c r="S302"/>
      <c r="T302"/>
      <c r="U302" s="38"/>
      <c r="V302"/>
      <c r="W302"/>
    </row>
    <row r="303" spans="1:23" s="41" customFormat="1" ht="12" customHeight="1">
      <c r="A303" s="670"/>
      <c r="B303" s="762"/>
      <c r="C303" s="762"/>
      <c r="D303" s="389"/>
      <c r="E303" s="1162"/>
      <c r="F303" s="392"/>
      <c r="G303" s="1163"/>
      <c r="H303" s="389"/>
      <c r="I303" s="670"/>
      <c r="J303" s="364"/>
      <c r="K303" s="1164"/>
      <c r="L303" s="670"/>
      <c r="M303" s="670"/>
      <c r="N303" s="670"/>
      <c r="O303" s="670"/>
      <c r="P303"/>
      <c r="Q303"/>
      <c r="R303"/>
      <c r="S303"/>
      <c r="T303"/>
      <c r="U303"/>
      <c r="V303"/>
      <c r="W303"/>
    </row>
    <row r="304" spans="1:23" ht="12" customHeight="1">
      <c r="A304" s="670"/>
      <c r="B304" s="762"/>
      <c r="C304" s="762"/>
      <c r="D304" s="389"/>
      <c r="E304" s="1162"/>
      <c r="F304" s="392"/>
      <c r="G304" s="1163"/>
      <c r="H304" s="389"/>
      <c r="I304" s="670"/>
      <c r="J304" s="364"/>
      <c r="K304" s="1164"/>
      <c r="L304" s="670"/>
      <c r="M304" s="670"/>
      <c r="N304" s="670"/>
      <c r="O304" s="670"/>
      <c r="U304" s="159"/>
    </row>
    <row r="305" spans="10:41" ht="12" customHeight="1">
      <c r="J305" s="364"/>
    </row>
    <row r="311" spans="10:41" ht="12" customHeight="1">
      <c r="J311" s="364"/>
      <c r="AA311" s="670" t="s">
        <v>196</v>
      </c>
      <c r="AB311" s="670"/>
      <c r="AC311" s="670"/>
      <c r="AD311" s="670"/>
      <c r="AE311" s="670"/>
      <c r="AF311" s="670"/>
      <c r="AG311" s="670"/>
      <c r="AH311" s="670"/>
      <c r="AI311" s="670"/>
      <c r="AJ311" s="670"/>
      <c r="AK311" s="670"/>
      <c r="AL311" s="670"/>
      <c r="AM311" s="670"/>
      <c r="AN311" s="670"/>
      <c r="AO311" s="670"/>
    </row>
    <row r="312" spans="10:41" ht="12" customHeight="1">
      <c r="J312" s="364"/>
      <c r="AA312" s="1129">
        <f>E218</f>
        <v>0</v>
      </c>
      <c r="AB312" s="1129">
        <f>E224</f>
        <v>0</v>
      </c>
      <c r="AC312" s="1129">
        <f>E230</f>
        <v>0</v>
      </c>
      <c r="AD312" s="1129">
        <f>E236</f>
        <v>0</v>
      </c>
      <c r="AE312" s="1129">
        <f>E242</f>
        <v>0</v>
      </c>
      <c r="AF312" s="1129">
        <f>E248</f>
        <v>0</v>
      </c>
      <c r="AG312" s="1129">
        <f>E254</f>
        <v>0</v>
      </c>
      <c r="AH312" s="1129">
        <f>E260</f>
        <v>0</v>
      </c>
      <c r="AI312" s="670"/>
      <c r="AJ312" s="670"/>
      <c r="AK312" s="670"/>
      <c r="AL312" s="670"/>
      <c r="AM312" s="670"/>
      <c r="AN312" s="670"/>
      <c r="AO312" s="670"/>
    </row>
    <row r="313" spans="10:41" ht="12" customHeight="1">
      <c r="J313" s="364"/>
      <c r="AA313" s="70">
        <f>E219</f>
        <v>0</v>
      </c>
      <c r="AB313" s="70">
        <f>E225</f>
        <v>0</v>
      </c>
      <c r="AC313" s="70">
        <f>E231</f>
        <v>0</v>
      </c>
      <c r="AD313" s="70">
        <f>E237</f>
        <v>0</v>
      </c>
      <c r="AE313" s="70">
        <f>E243</f>
        <v>0</v>
      </c>
      <c r="AF313" s="1129">
        <f>E249</f>
        <v>0</v>
      </c>
      <c r="AG313" s="1129">
        <f>E255</f>
        <v>0</v>
      </c>
      <c r="AH313" s="1129">
        <f>E261</f>
        <v>0</v>
      </c>
      <c r="AJ313" s="392" t="s">
        <v>197</v>
      </c>
      <c r="AK313" s="392" t="s">
        <v>198</v>
      </c>
      <c r="AL313" s="392" t="s">
        <v>199</v>
      </c>
      <c r="AM313" s="392" t="s">
        <v>200</v>
      </c>
      <c r="AN313" s="392" t="s">
        <v>201</v>
      </c>
      <c r="AO313" s="392" t="s">
        <v>202</v>
      </c>
    </row>
    <row r="314" spans="10:41" ht="12" customHeight="1">
      <c r="J314" s="364"/>
      <c r="AA314" s="392" t="str">
        <f t="shared" ref="AA314:AA331" si="0">IF($AA$313=AI314,"MATCH","NO")</f>
        <v>MATCH</v>
      </c>
      <c r="AB314" s="392" t="str">
        <f t="shared" ref="AB314:AB331" si="1">IF($AB$313=AI314,"MATCH","NO")</f>
        <v>MATCH</v>
      </c>
      <c r="AC314" s="392" t="str">
        <f t="shared" ref="AC314:AC331" si="2">IF($AC$313=AI314,"MATCH","NO")</f>
        <v>MATCH</v>
      </c>
      <c r="AD314" s="392" t="str">
        <f t="shared" ref="AD314:AD331" si="3">IF($AD$313=AI314,"MATCH","NO")</f>
        <v>MATCH</v>
      </c>
      <c r="AE314" s="392" t="str">
        <f t="shared" ref="AE314:AE331" si="4">IF($AE$313=AI314,"MATCH","NO")</f>
        <v>MATCH</v>
      </c>
      <c r="AF314" s="392" t="str">
        <f t="shared" ref="AF314:AF331" si="5">IF($AF$313=AI314,"MATCH","NO")</f>
        <v>MATCH</v>
      </c>
      <c r="AG314" s="392" t="str">
        <f t="shared" ref="AG314:AG331" si="6">IF($AG$313=AI314,"MATCH","NO")</f>
        <v>MATCH</v>
      </c>
      <c r="AH314" s="392" t="str">
        <f t="shared" ref="AH314:AH331" si="7">IF($AH$313=AI314,"MATCH","NO")</f>
        <v>MATCH</v>
      </c>
      <c r="AI314">
        <f>Relay_Location</f>
        <v>0</v>
      </c>
      <c r="AJ314" s="392">
        <v>0</v>
      </c>
      <c r="AK314" s="392">
        <v>0</v>
      </c>
      <c r="AL314" s="392">
        <v>0</v>
      </c>
      <c r="AM314" s="392">
        <v>0</v>
      </c>
      <c r="AN314" s="392">
        <v>0</v>
      </c>
      <c r="AO314" s="392">
        <v>0</v>
      </c>
    </row>
    <row r="315" spans="10:41" ht="12" customHeight="1">
      <c r="J315" s="364"/>
      <c r="AA315" s="392" t="str">
        <f t="shared" si="0"/>
        <v>MATCH</v>
      </c>
      <c r="AB315" s="392" t="str">
        <f t="shared" si="1"/>
        <v>MATCH</v>
      </c>
      <c r="AC315" s="392" t="str">
        <f t="shared" si="2"/>
        <v>MATCH</v>
      </c>
      <c r="AD315" s="392" t="str">
        <f t="shared" si="3"/>
        <v>MATCH</v>
      </c>
      <c r="AE315" s="392" t="str">
        <f t="shared" si="4"/>
        <v>MATCH</v>
      </c>
      <c r="AF315" s="392" t="str">
        <f t="shared" si="5"/>
        <v>MATCH</v>
      </c>
      <c r="AG315" s="392" t="str">
        <f t="shared" si="6"/>
        <v>MATCH</v>
      </c>
      <c r="AH315" s="392" t="str">
        <f t="shared" si="7"/>
        <v>MATCH</v>
      </c>
      <c r="AI315" s="670">
        <f>Remote_Location</f>
        <v>0</v>
      </c>
      <c r="AJ315" s="1154">
        <f>E55/100</f>
        <v>0</v>
      </c>
      <c r="AK315" s="1154">
        <f>E56/100</f>
        <v>0</v>
      </c>
      <c r="AL315" s="392">
        <v>0</v>
      </c>
      <c r="AM315" s="392">
        <v>0</v>
      </c>
      <c r="AN315" s="1154">
        <f>AJ315</f>
        <v>0</v>
      </c>
      <c r="AO315" s="1154">
        <f>AK315</f>
        <v>0</v>
      </c>
    </row>
    <row r="316" spans="10:41" ht="12" customHeight="1">
      <c r="J316" s="364"/>
      <c r="AA316" s="392" t="str">
        <f t="shared" si="0"/>
        <v>NO</v>
      </c>
      <c r="AB316" s="392" t="str">
        <f t="shared" si="1"/>
        <v>NO</v>
      </c>
      <c r="AC316" s="392" t="str">
        <f t="shared" si="2"/>
        <v>NO</v>
      </c>
      <c r="AD316" s="392" t="str">
        <f t="shared" si="3"/>
        <v>NO</v>
      </c>
      <c r="AE316" s="392" t="str">
        <f t="shared" si="4"/>
        <v>NO</v>
      </c>
      <c r="AF316" s="392" t="str">
        <f t="shared" si="5"/>
        <v>NO</v>
      </c>
      <c r="AG316" s="392" t="str">
        <f t="shared" si="6"/>
        <v>NO</v>
      </c>
      <c r="AH316" s="392" t="str">
        <f t="shared" si="7"/>
        <v>NO</v>
      </c>
      <c r="AI316" s="33" t="str">
        <f>E120</f>
        <v/>
      </c>
      <c r="AJ316" s="392">
        <f>'3) Aspen Impedances'!E152</f>
        <v>0</v>
      </c>
      <c r="AK316" s="392">
        <f>'3) Aspen Impedances'!F152</f>
        <v>0</v>
      </c>
      <c r="AL316" s="392">
        <v>0</v>
      </c>
      <c r="AM316" s="392">
        <v>0</v>
      </c>
      <c r="AN316" s="392">
        <f>AJ316+AL316</f>
        <v>0</v>
      </c>
      <c r="AO316" s="392">
        <f>AK316+AM316</f>
        <v>0</v>
      </c>
    </row>
    <row r="317" spans="10:41" ht="12" customHeight="1">
      <c r="J317" s="364"/>
      <c r="AA317" s="392" t="str">
        <f t="shared" si="0"/>
        <v>NO</v>
      </c>
      <c r="AB317" s="392" t="str">
        <f t="shared" si="1"/>
        <v>NO</v>
      </c>
      <c r="AC317" s="392" t="str">
        <f t="shared" si="2"/>
        <v>NO</v>
      </c>
      <c r="AD317" s="392" t="str">
        <f t="shared" si="3"/>
        <v>NO</v>
      </c>
      <c r="AE317" s="392" t="str">
        <f t="shared" si="4"/>
        <v>NO</v>
      </c>
      <c r="AF317" s="392" t="str">
        <f t="shared" si="5"/>
        <v>NO</v>
      </c>
      <c r="AG317" s="392" t="str">
        <f t="shared" si="6"/>
        <v>NO</v>
      </c>
      <c r="AH317" s="392" t="str">
        <f t="shared" si="7"/>
        <v>NO</v>
      </c>
      <c r="AI317" s="33" t="str">
        <f>E128</f>
        <v/>
      </c>
      <c r="AJ317" s="392">
        <f>'3) Aspen Impedances'!E160</f>
        <v>0</v>
      </c>
      <c r="AK317" s="392">
        <f>'3) Aspen Impedances'!F160</f>
        <v>0</v>
      </c>
      <c r="AL317" s="392">
        <v>0</v>
      </c>
      <c r="AM317" s="392">
        <v>0</v>
      </c>
      <c r="AN317" s="392">
        <f t="shared" ref="AN317:AN331" si="8">AJ317+AL317</f>
        <v>0</v>
      </c>
      <c r="AO317" s="392">
        <f t="shared" ref="AO317:AO331" si="9">AK317+AM317</f>
        <v>0</v>
      </c>
    </row>
    <row r="318" spans="10:41" ht="12" customHeight="1">
      <c r="J318" s="364"/>
      <c r="AA318" s="392" t="str">
        <f t="shared" si="0"/>
        <v>NO</v>
      </c>
      <c r="AB318" s="392" t="str">
        <f t="shared" si="1"/>
        <v>NO</v>
      </c>
      <c r="AC318" s="392" t="str">
        <f t="shared" si="2"/>
        <v>NO</v>
      </c>
      <c r="AD318" s="392" t="str">
        <f t="shared" si="3"/>
        <v>NO</v>
      </c>
      <c r="AE318" s="392" t="str">
        <f t="shared" si="4"/>
        <v>NO</v>
      </c>
      <c r="AF318" s="392" t="str">
        <f t="shared" si="5"/>
        <v>NO</v>
      </c>
      <c r="AG318" s="392" t="str">
        <f t="shared" si="6"/>
        <v>NO</v>
      </c>
      <c r="AH318" s="392" t="str">
        <f t="shared" si="7"/>
        <v>NO</v>
      </c>
      <c r="AI318" s="53" t="str">
        <f>E136</f>
        <v/>
      </c>
      <c r="AJ318" s="392">
        <f>'3) Aspen Impedances'!E168</f>
        <v>0</v>
      </c>
      <c r="AK318" s="392">
        <f>'3) Aspen Impedances'!F168</f>
        <v>0</v>
      </c>
      <c r="AL318" s="392">
        <v>0</v>
      </c>
      <c r="AM318" s="392">
        <v>0</v>
      </c>
      <c r="AN318" s="392">
        <f t="shared" si="8"/>
        <v>0</v>
      </c>
      <c r="AO318" s="392">
        <f t="shared" si="9"/>
        <v>0</v>
      </c>
    </row>
    <row r="319" spans="10:41" ht="12" customHeight="1">
      <c r="J319" s="364"/>
      <c r="AA319" s="392" t="str">
        <f t="shared" si="0"/>
        <v>NO</v>
      </c>
      <c r="AB319" s="392" t="str">
        <f t="shared" si="1"/>
        <v>NO</v>
      </c>
      <c r="AC319" s="392" t="str">
        <f t="shared" si="2"/>
        <v>NO</v>
      </c>
      <c r="AD319" s="392" t="str">
        <f t="shared" si="3"/>
        <v>NO</v>
      </c>
      <c r="AE319" s="392" t="str">
        <f t="shared" si="4"/>
        <v>NO</v>
      </c>
      <c r="AF319" s="392" t="str">
        <f t="shared" si="5"/>
        <v>NO</v>
      </c>
      <c r="AG319" s="392" t="str">
        <f t="shared" si="6"/>
        <v>NO</v>
      </c>
      <c r="AH319" s="392" t="str">
        <f t="shared" si="7"/>
        <v>NO</v>
      </c>
      <c r="AI319" s="33" t="str">
        <f>E144</f>
        <v/>
      </c>
      <c r="AJ319" s="392">
        <f>'3) Aspen Impedances'!E176</f>
        <v>0</v>
      </c>
      <c r="AK319" s="392">
        <f>'3) Aspen Impedances'!F176</f>
        <v>0</v>
      </c>
      <c r="AL319" s="392">
        <v>0</v>
      </c>
      <c r="AM319" s="392">
        <v>0</v>
      </c>
      <c r="AN319" s="392">
        <f t="shared" si="8"/>
        <v>0</v>
      </c>
      <c r="AO319" s="392">
        <f t="shared" si="9"/>
        <v>0</v>
      </c>
    </row>
    <row r="320" spans="10:41" ht="12" customHeight="1">
      <c r="J320" s="364"/>
      <c r="AA320" s="392" t="str">
        <f t="shared" si="0"/>
        <v>NO</v>
      </c>
      <c r="AB320" s="392" t="str">
        <f t="shared" si="1"/>
        <v>NO</v>
      </c>
      <c r="AC320" s="392" t="str">
        <f t="shared" si="2"/>
        <v>NO</v>
      </c>
      <c r="AD320" s="392" t="str">
        <f t="shared" si="3"/>
        <v>NO</v>
      </c>
      <c r="AE320" s="392" t="str">
        <f t="shared" si="4"/>
        <v>NO</v>
      </c>
      <c r="AF320" s="392" t="str">
        <f t="shared" si="5"/>
        <v>NO</v>
      </c>
      <c r="AG320" s="392" t="str">
        <f t="shared" si="6"/>
        <v>NO</v>
      </c>
      <c r="AH320" s="392" t="str">
        <f t="shared" si="7"/>
        <v>NO</v>
      </c>
      <c r="AI320" s="33" t="str">
        <f>E152</f>
        <v/>
      </c>
      <c r="AJ320" s="392">
        <f>'3) Aspen Impedances'!E184</f>
        <v>0</v>
      </c>
      <c r="AK320" s="392">
        <f>'3) Aspen Impedances'!F184</f>
        <v>0</v>
      </c>
      <c r="AL320" s="392">
        <v>0</v>
      </c>
      <c r="AM320" s="392">
        <v>0</v>
      </c>
      <c r="AN320" s="392">
        <f t="shared" si="8"/>
        <v>0</v>
      </c>
      <c r="AO320" s="392">
        <f t="shared" si="9"/>
        <v>0</v>
      </c>
    </row>
    <row r="321" spans="1:42" ht="12" customHeight="1">
      <c r="J321" s="364"/>
      <c r="AA321" s="392" t="str">
        <f t="shared" si="0"/>
        <v>NO</v>
      </c>
      <c r="AB321" s="392" t="str">
        <f t="shared" si="1"/>
        <v>NO</v>
      </c>
      <c r="AC321" s="392" t="str">
        <f t="shared" si="2"/>
        <v>NO</v>
      </c>
      <c r="AD321" s="392" t="str">
        <f t="shared" si="3"/>
        <v>NO</v>
      </c>
      <c r="AE321" s="392" t="str">
        <f t="shared" si="4"/>
        <v>NO</v>
      </c>
      <c r="AF321" s="392" t="str">
        <f t="shared" si="5"/>
        <v>NO</v>
      </c>
      <c r="AG321" s="392" t="str">
        <f t="shared" si="6"/>
        <v>NO</v>
      </c>
      <c r="AH321" s="392" t="str">
        <f t="shared" si="7"/>
        <v>NO</v>
      </c>
      <c r="AI321" s="33" t="str">
        <f>E160</f>
        <v/>
      </c>
      <c r="AJ321" s="392">
        <f>'3) Aspen Impedances'!E192</f>
        <v>0</v>
      </c>
      <c r="AK321" s="392">
        <f>'3) Aspen Impedances'!F192</f>
        <v>0</v>
      </c>
      <c r="AL321" s="392">
        <v>0</v>
      </c>
      <c r="AM321" s="392">
        <v>0</v>
      </c>
      <c r="AN321" s="392">
        <f t="shared" si="8"/>
        <v>0</v>
      </c>
      <c r="AO321" s="392">
        <f t="shared" si="9"/>
        <v>0</v>
      </c>
    </row>
    <row r="322" spans="1:42" ht="12" customHeight="1">
      <c r="J322" s="364"/>
      <c r="AA322" s="392" t="str">
        <f t="shared" si="0"/>
        <v>NO</v>
      </c>
      <c r="AB322" s="392" t="str">
        <f t="shared" si="1"/>
        <v>NO</v>
      </c>
      <c r="AC322" s="392" t="str">
        <f t="shared" si="2"/>
        <v>NO</v>
      </c>
      <c r="AD322" s="392" t="str">
        <f t="shared" si="3"/>
        <v>NO</v>
      </c>
      <c r="AE322" s="392" t="str">
        <f t="shared" si="4"/>
        <v>NO</v>
      </c>
      <c r="AF322" s="392" t="str">
        <f t="shared" si="5"/>
        <v>NO</v>
      </c>
      <c r="AG322" s="392" t="str">
        <f t="shared" si="6"/>
        <v>NO</v>
      </c>
      <c r="AH322" s="392" t="str">
        <f t="shared" si="7"/>
        <v>NO</v>
      </c>
      <c r="AI322" s="33" t="str">
        <f>E168</f>
        <v/>
      </c>
      <c r="AJ322" s="392">
        <f>'3) Aspen Impedances'!E200</f>
        <v>0</v>
      </c>
      <c r="AK322" s="392">
        <f>'3) Aspen Impedances'!F200</f>
        <v>0</v>
      </c>
      <c r="AL322" s="392">
        <v>0</v>
      </c>
      <c r="AM322" s="392">
        <v>0</v>
      </c>
      <c r="AN322" s="392">
        <f t="shared" si="8"/>
        <v>0</v>
      </c>
      <c r="AO322" s="392">
        <f t="shared" si="9"/>
        <v>0</v>
      </c>
    </row>
    <row r="323" spans="1:42" ht="12" customHeight="1">
      <c r="J323" s="364"/>
      <c r="AA323" s="392" t="str">
        <f t="shared" si="0"/>
        <v>NO</v>
      </c>
      <c r="AB323" s="392" t="str">
        <f t="shared" si="1"/>
        <v>NO</v>
      </c>
      <c r="AC323" s="392" t="str">
        <f t="shared" si="2"/>
        <v>NO</v>
      </c>
      <c r="AD323" s="392" t="str">
        <f t="shared" si="3"/>
        <v>NO</v>
      </c>
      <c r="AE323" s="392" t="str">
        <f t="shared" si="4"/>
        <v>NO</v>
      </c>
      <c r="AF323" s="392" t="str">
        <f t="shared" si="5"/>
        <v>NO</v>
      </c>
      <c r="AG323" s="392" t="str">
        <f t="shared" si="6"/>
        <v>NO</v>
      </c>
      <c r="AH323" s="392" t="str">
        <f t="shared" si="7"/>
        <v>NO</v>
      </c>
      <c r="AI323" s="33" t="str">
        <f>E176</f>
        <v/>
      </c>
      <c r="AJ323" s="392">
        <f>'3) Aspen Impedances'!E208</f>
        <v>0</v>
      </c>
      <c r="AK323" s="392">
        <f>'3) Aspen Impedances'!F208</f>
        <v>0</v>
      </c>
      <c r="AL323" s="392">
        <v>0</v>
      </c>
      <c r="AM323" s="392">
        <v>0</v>
      </c>
      <c r="AN323" s="392">
        <f t="shared" si="8"/>
        <v>0</v>
      </c>
      <c r="AO323" s="392">
        <f t="shared" si="9"/>
        <v>0</v>
      </c>
    </row>
    <row r="324" spans="1:42" ht="12" customHeight="1">
      <c r="J324" s="364"/>
      <c r="AA324" s="392" t="str">
        <f t="shared" si="0"/>
        <v>NO</v>
      </c>
      <c r="AB324" s="392" t="str">
        <f t="shared" si="1"/>
        <v>NO</v>
      </c>
      <c r="AC324" s="392" t="str">
        <f t="shared" si="2"/>
        <v>NO</v>
      </c>
      <c r="AD324" s="392" t="str">
        <f t="shared" si="3"/>
        <v>NO</v>
      </c>
      <c r="AE324" s="392" t="str">
        <f t="shared" si="4"/>
        <v>NO</v>
      </c>
      <c r="AF324" s="392" t="str">
        <f t="shared" si="5"/>
        <v>NO</v>
      </c>
      <c r="AG324" s="392" t="str">
        <f t="shared" si="6"/>
        <v>NO</v>
      </c>
      <c r="AH324" s="392" t="str">
        <f t="shared" si="7"/>
        <v>NO</v>
      </c>
      <c r="AI324" s="33" t="str">
        <f>E121</f>
        <v/>
      </c>
      <c r="AJ324" s="392">
        <f>'3) Aspen Impedances'!E152</f>
        <v>0</v>
      </c>
      <c r="AK324" s="392">
        <f>'3) Aspen Impedances'!F152</f>
        <v>0</v>
      </c>
      <c r="AL324" s="392">
        <f>'3) Aspen Impedances'!E86</f>
        <v>0</v>
      </c>
      <c r="AM324" s="392">
        <f>'3) Aspen Impedances'!F86</f>
        <v>0</v>
      </c>
      <c r="AN324" s="392">
        <f t="shared" si="8"/>
        <v>0</v>
      </c>
      <c r="AO324" s="392">
        <f t="shared" si="9"/>
        <v>0</v>
      </c>
    </row>
    <row r="325" spans="1:42" s="64" customFormat="1" ht="12" customHeight="1">
      <c r="A325"/>
      <c r="B325" s="33"/>
      <c r="C325" s="33"/>
      <c r="D325" s="37"/>
      <c r="E325" s="53"/>
      <c r="F325" s="51"/>
      <c r="G325" s="36"/>
      <c r="H325" s="37"/>
      <c r="I325"/>
      <c r="J325" s="364"/>
      <c r="K325" s="38"/>
      <c r="L325"/>
      <c r="M325"/>
      <c r="N325"/>
      <c r="O325"/>
      <c r="P325"/>
      <c r="Q325"/>
      <c r="R325"/>
      <c r="S325"/>
      <c r="T325"/>
      <c r="U325"/>
      <c r="V325"/>
      <c r="W325"/>
      <c r="AA325" s="392" t="str">
        <f t="shared" si="0"/>
        <v>NO</v>
      </c>
      <c r="AB325" s="392" t="str">
        <f t="shared" si="1"/>
        <v>NO</v>
      </c>
      <c r="AC325" s="392" t="str">
        <f t="shared" si="2"/>
        <v>NO</v>
      </c>
      <c r="AD325" s="392" t="str">
        <f t="shared" si="3"/>
        <v>NO</v>
      </c>
      <c r="AE325" s="392" t="str">
        <f t="shared" si="4"/>
        <v>NO</v>
      </c>
      <c r="AF325" s="392" t="str">
        <f t="shared" si="5"/>
        <v>NO</v>
      </c>
      <c r="AG325" s="392" t="str">
        <f t="shared" si="6"/>
        <v>NO</v>
      </c>
      <c r="AH325" s="392" t="str">
        <f t="shared" si="7"/>
        <v>NO</v>
      </c>
      <c r="AI325" s="33" t="str">
        <f>E129</f>
        <v/>
      </c>
      <c r="AJ325" s="392">
        <f>'3) Aspen Impedances'!E160</f>
        <v>0</v>
      </c>
      <c r="AK325" s="392">
        <f>'3) Aspen Impedances'!F160</f>
        <v>0</v>
      </c>
      <c r="AL325" s="392">
        <f>'3) Aspen Impedances'!E94</f>
        <v>0</v>
      </c>
      <c r="AM325" s="392">
        <f>'3) Aspen Impedances'!F94</f>
        <v>0</v>
      </c>
      <c r="AN325" s="392">
        <f t="shared" si="8"/>
        <v>0</v>
      </c>
      <c r="AO325" s="392">
        <f t="shared" si="9"/>
        <v>0</v>
      </c>
      <c r="AP325"/>
    </row>
    <row r="326" spans="1:42" ht="12" customHeight="1">
      <c r="J326" s="364"/>
      <c r="AA326" s="392" t="str">
        <f t="shared" si="0"/>
        <v>NO</v>
      </c>
      <c r="AB326" s="392" t="str">
        <f t="shared" si="1"/>
        <v>NO</v>
      </c>
      <c r="AC326" s="392" t="str">
        <f t="shared" si="2"/>
        <v>NO</v>
      </c>
      <c r="AD326" s="392" t="str">
        <f t="shared" si="3"/>
        <v>NO</v>
      </c>
      <c r="AE326" s="392" t="str">
        <f t="shared" si="4"/>
        <v>NO</v>
      </c>
      <c r="AF326" s="392" t="str">
        <f t="shared" si="5"/>
        <v>NO</v>
      </c>
      <c r="AG326" s="392" t="str">
        <f t="shared" si="6"/>
        <v>NO</v>
      </c>
      <c r="AH326" s="392" t="str">
        <f t="shared" si="7"/>
        <v>NO</v>
      </c>
      <c r="AI326" s="33" t="str">
        <f>E137</f>
        <v/>
      </c>
      <c r="AJ326" s="392">
        <f>'3) Aspen Impedances'!E168</f>
        <v>0</v>
      </c>
      <c r="AK326" s="392">
        <f>'3) Aspen Impedances'!F168</f>
        <v>0</v>
      </c>
      <c r="AL326" s="392">
        <f>'3) Aspen Impedances'!E102</f>
        <v>0</v>
      </c>
      <c r="AM326" s="392">
        <f>'3) Aspen Impedances'!F102</f>
        <v>0</v>
      </c>
      <c r="AN326" s="392">
        <f t="shared" si="8"/>
        <v>0</v>
      </c>
      <c r="AO326" s="392">
        <f t="shared" si="9"/>
        <v>0</v>
      </c>
    </row>
    <row r="327" spans="1:42" ht="12" customHeight="1">
      <c r="J327" s="364"/>
      <c r="AA327" s="392" t="str">
        <f t="shared" si="0"/>
        <v>NO</v>
      </c>
      <c r="AB327" s="392" t="str">
        <f t="shared" si="1"/>
        <v>NO</v>
      </c>
      <c r="AC327" s="392" t="str">
        <f t="shared" si="2"/>
        <v>NO</v>
      </c>
      <c r="AD327" s="392" t="str">
        <f t="shared" si="3"/>
        <v>NO</v>
      </c>
      <c r="AE327" s="392" t="str">
        <f t="shared" si="4"/>
        <v>NO</v>
      </c>
      <c r="AF327" s="392" t="str">
        <f t="shared" si="5"/>
        <v>NO</v>
      </c>
      <c r="AG327" s="392" t="str">
        <f t="shared" si="6"/>
        <v>NO</v>
      </c>
      <c r="AH327" s="392" t="str">
        <f t="shared" si="7"/>
        <v>NO</v>
      </c>
      <c r="AI327" s="53" t="str">
        <f>E145</f>
        <v/>
      </c>
      <c r="AJ327" s="392">
        <f>'3) Aspen Impedances'!E176</f>
        <v>0</v>
      </c>
      <c r="AK327" s="392">
        <f>'3) Aspen Impedances'!F176</f>
        <v>0</v>
      </c>
      <c r="AL327" s="392">
        <f>'3) Aspen Impedances'!E110</f>
        <v>0</v>
      </c>
      <c r="AM327" s="392">
        <f>'3) Aspen Impedances'!F110</f>
        <v>0</v>
      </c>
      <c r="AN327" s="392">
        <f t="shared" si="8"/>
        <v>0</v>
      </c>
      <c r="AO327" s="392">
        <f t="shared" si="9"/>
        <v>0</v>
      </c>
    </row>
    <row r="328" spans="1:42" ht="12" customHeight="1">
      <c r="J328" s="364"/>
      <c r="AA328" s="392" t="str">
        <f t="shared" si="0"/>
        <v>NO</v>
      </c>
      <c r="AB328" s="392" t="str">
        <f t="shared" si="1"/>
        <v>NO</v>
      </c>
      <c r="AC328" s="392" t="str">
        <f t="shared" si="2"/>
        <v>NO</v>
      </c>
      <c r="AD328" s="392" t="str">
        <f t="shared" si="3"/>
        <v>NO</v>
      </c>
      <c r="AE328" s="392" t="str">
        <f t="shared" si="4"/>
        <v>NO</v>
      </c>
      <c r="AF328" s="392" t="str">
        <f t="shared" si="5"/>
        <v>NO</v>
      </c>
      <c r="AG328" s="392" t="str">
        <f t="shared" si="6"/>
        <v>NO</v>
      </c>
      <c r="AH328" s="392" t="str">
        <f t="shared" si="7"/>
        <v>NO</v>
      </c>
      <c r="AI328" s="33" t="str">
        <f>E153</f>
        <v/>
      </c>
      <c r="AJ328" s="392">
        <f>'3) Aspen Impedances'!E184</f>
        <v>0</v>
      </c>
      <c r="AK328" s="392">
        <f>'3) Aspen Impedances'!F184</f>
        <v>0</v>
      </c>
      <c r="AL328" s="392">
        <f>'3) Aspen Impedances'!E118</f>
        <v>0</v>
      </c>
      <c r="AM328" s="392">
        <f>'3) Aspen Impedances'!F118</f>
        <v>0</v>
      </c>
      <c r="AN328" s="392">
        <f t="shared" si="8"/>
        <v>0</v>
      </c>
      <c r="AO328" s="392">
        <f t="shared" si="9"/>
        <v>0</v>
      </c>
    </row>
    <row r="329" spans="1:42" ht="12" customHeight="1">
      <c r="J329" s="364"/>
      <c r="AA329" s="392" t="str">
        <f t="shared" si="0"/>
        <v>NO</v>
      </c>
      <c r="AB329" s="392" t="str">
        <f t="shared" si="1"/>
        <v>NO</v>
      </c>
      <c r="AC329" s="392" t="str">
        <f t="shared" si="2"/>
        <v>NO</v>
      </c>
      <c r="AD329" s="392" t="str">
        <f t="shared" si="3"/>
        <v>NO</v>
      </c>
      <c r="AE329" s="392" t="str">
        <f t="shared" si="4"/>
        <v>NO</v>
      </c>
      <c r="AF329" s="392" t="str">
        <f t="shared" si="5"/>
        <v>NO</v>
      </c>
      <c r="AG329" s="392" t="str">
        <f t="shared" si="6"/>
        <v>NO</v>
      </c>
      <c r="AH329" s="392" t="str">
        <f t="shared" si="7"/>
        <v>NO</v>
      </c>
      <c r="AI329" s="33" t="str">
        <f>E161</f>
        <v/>
      </c>
      <c r="AJ329" s="392">
        <f>'3) Aspen Impedances'!E192</f>
        <v>0</v>
      </c>
      <c r="AK329" s="392">
        <f>'3) Aspen Impedances'!F192</f>
        <v>0</v>
      </c>
      <c r="AL329" s="392">
        <f>'3) Aspen Impedances'!E126</f>
        <v>0</v>
      </c>
      <c r="AM329" s="392">
        <f>'3) Aspen Impedances'!F126</f>
        <v>0</v>
      </c>
      <c r="AN329" s="392">
        <f t="shared" si="8"/>
        <v>0</v>
      </c>
      <c r="AO329" s="392">
        <f t="shared" si="9"/>
        <v>0</v>
      </c>
    </row>
    <row r="330" spans="1:42" s="64" customFormat="1" ht="12" customHeight="1">
      <c r="A330"/>
      <c r="B330" s="33"/>
      <c r="C330" s="33"/>
      <c r="D330" s="37"/>
      <c r="E330" s="53"/>
      <c r="F330" s="51"/>
      <c r="G330" s="36"/>
      <c r="H330" s="37"/>
      <c r="I330"/>
      <c r="J330" s="364"/>
      <c r="K330" s="38"/>
      <c r="L330"/>
      <c r="M330"/>
      <c r="N330"/>
      <c r="O330"/>
      <c r="P330"/>
      <c r="Q330"/>
      <c r="R330"/>
      <c r="S330"/>
      <c r="T330"/>
      <c r="U330"/>
      <c r="V330"/>
      <c r="W330"/>
      <c r="AA330" s="392" t="str">
        <f t="shared" si="0"/>
        <v>NO</v>
      </c>
      <c r="AB330" s="392" t="str">
        <f t="shared" si="1"/>
        <v>NO</v>
      </c>
      <c r="AC330" s="392" t="str">
        <f t="shared" si="2"/>
        <v>NO</v>
      </c>
      <c r="AD330" s="392" t="str">
        <f t="shared" si="3"/>
        <v>NO</v>
      </c>
      <c r="AE330" s="392" t="str">
        <f t="shared" si="4"/>
        <v>NO</v>
      </c>
      <c r="AF330" s="392" t="str">
        <f t="shared" si="5"/>
        <v>NO</v>
      </c>
      <c r="AG330" s="392" t="str">
        <f t="shared" si="6"/>
        <v>NO</v>
      </c>
      <c r="AH330" s="392" t="str">
        <f t="shared" si="7"/>
        <v>NO</v>
      </c>
      <c r="AI330" s="33" t="str">
        <f>E169</f>
        <v/>
      </c>
      <c r="AJ330" s="392">
        <f>'3) Aspen Impedances'!E200</f>
        <v>0</v>
      </c>
      <c r="AK330" s="392">
        <f>'3) Aspen Impedances'!F200</f>
        <v>0</v>
      </c>
      <c r="AL330" s="51">
        <f>'3) Aspen Impedances'!E134</f>
        <v>0</v>
      </c>
      <c r="AM330" s="51">
        <f>'3) Aspen Impedances'!F134</f>
        <v>0</v>
      </c>
      <c r="AN330" s="392">
        <f t="shared" si="8"/>
        <v>0</v>
      </c>
      <c r="AO330" s="392">
        <f t="shared" si="9"/>
        <v>0</v>
      </c>
      <c r="AP330"/>
    </row>
    <row r="331" spans="1:42" s="64" customFormat="1" ht="12" customHeight="1">
      <c r="A331"/>
      <c r="B331" s="33"/>
      <c r="C331" s="33"/>
      <c r="D331" s="37"/>
      <c r="E331" s="53"/>
      <c r="F331" s="51"/>
      <c r="G331" s="36"/>
      <c r="H331" s="37"/>
      <c r="I331"/>
      <c r="J331" s="364"/>
      <c r="K331" s="38"/>
      <c r="L331"/>
      <c r="M331"/>
      <c r="N331"/>
      <c r="O331"/>
      <c r="P331"/>
      <c r="Q331"/>
      <c r="R331"/>
      <c r="S331"/>
      <c r="T331"/>
      <c r="U331"/>
      <c r="V331"/>
      <c r="W331"/>
      <c r="AA331" s="392" t="str">
        <f t="shared" si="0"/>
        <v>NO</v>
      </c>
      <c r="AB331" s="392" t="str">
        <f t="shared" si="1"/>
        <v>NO</v>
      </c>
      <c r="AC331" s="392" t="str">
        <f t="shared" si="2"/>
        <v>NO</v>
      </c>
      <c r="AD331" s="392" t="str">
        <f t="shared" si="3"/>
        <v>NO</v>
      </c>
      <c r="AE331" s="392" t="str">
        <f t="shared" si="4"/>
        <v>NO</v>
      </c>
      <c r="AF331" s="392" t="str">
        <f t="shared" si="5"/>
        <v>NO</v>
      </c>
      <c r="AG331" s="392" t="str">
        <f t="shared" si="6"/>
        <v>NO</v>
      </c>
      <c r="AH331" s="392" t="str">
        <f t="shared" si="7"/>
        <v>NO</v>
      </c>
      <c r="AI331" s="33" t="str">
        <f>E177</f>
        <v/>
      </c>
      <c r="AJ331" s="392">
        <f>'3) Aspen Impedances'!E208</f>
        <v>0</v>
      </c>
      <c r="AK331" s="392">
        <f>'3) Aspen Impedances'!F208</f>
        <v>0</v>
      </c>
      <c r="AL331" s="51">
        <f>'3) Aspen Impedances'!E142</f>
        <v>0</v>
      </c>
      <c r="AM331" s="51">
        <f>'3) Aspen Impedances'!F142</f>
        <v>0</v>
      </c>
      <c r="AN331" s="392">
        <f t="shared" si="8"/>
        <v>0</v>
      </c>
      <c r="AO331" s="392">
        <f t="shared" si="9"/>
        <v>0</v>
      </c>
      <c r="AP331"/>
    </row>
    <row r="332" spans="1:42" s="64" customFormat="1" ht="12" customHeight="1">
      <c r="A332"/>
      <c r="B332" s="33"/>
      <c r="C332" s="33"/>
      <c r="D332" s="37"/>
      <c r="E332" s="53"/>
      <c r="F332" s="51"/>
      <c r="G332" s="36"/>
      <c r="H332" s="37"/>
      <c r="I332"/>
      <c r="J332" s="364"/>
      <c r="K332" s="38"/>
      <c r="L332"/>
      <c r="M332"/>
      <c r="N332"/>
      <c r="O332"/>
      <c r="P332"/>
      <c r="Q332"/>
      <c r="R332"/>
      <c r="S332"/>
      <c r="T332"/>
      <c r="U332"/>
      <c r="V332"/>
      <c r="W332"/>
      <c r="AA332" s="392"/>
      <c r="AB332" s="392"/>
      <c r="AC332" s="392"/>
      <c r="AD332" s="392"/>
      <c r="AE332" s="392"/>
      <c r="AF332" s="392"/>
      <c r="AG332" s="392"/>
      <c r="AH332" s="392"/>
      <c r="AI332"/>
      <c r="AJ332"/>
      <c r="AK332"/>
      <c r="AL332"/>
      <c r="AM332"/>
      <c r="AN332"/>
      <c r="AO332"/>
    </row>
    <row r="333" spans="1:42" s="64" customFormat="1" ht="12" customHeight="1">
      <c r="A333"/>
      <c r="B333" s="33"/>
      <c r="C333" s="33"/>
      <c r="D333" s="37"/>
      <c r="E333" s="53"/>
      <c r="F333" s="51"/>
      <c r="G333" s="36"/>
      <c r="H333" s="37"/>
      <c r="I333"/>
      <c r="J333" s="364"/>
      <c r="K333" s="38"/>
      <c r="L333"/>
      <c r="M333"/>
      <c r="N333"/>
      <c r="O333"/>
      <c r="P333"/>
      <c r="Q333"/>
      <c r="R333"/>
      <c r="S333"/>
      <c r="T333"/>
      <c r="U333"/>
      <c r="V333"/>
      <c r="W333"/>
      <c r="AA333" s="392" t="s">
        <v>203</v>
      </c>
      <c r="AB333" s="392" t="s">
        <v>204</v>
      </c>
      <c r="AC333" s="392" t="s">
        <v>205</v>
      </c>
      <c r="AD333" s="392" t="s">
        <v>206</v>
      </c>
      <c r="AE333" s="392" t="s">
        <v>207</v>
      </c>
      <c r="AF333" s="392" t="s">
        <v>208</v>
      </c>
      <c r="AG333" s="64" t="s">
        <v>209</v>
      </c>
      <c r="AH333" s="64" t="s">
        <v>210</v>
      </c>
      <c r="AI333" s="392" t="s">
        <v>211</v>
      </c>
      <c r="AJ333" s="392" t="s">
        <v>206</v>
      </c>
      <c r="AK333" s="392" t="s">
        <v>207</v>
      </c>
      <c r="AL333" s="392" t="s">
        <v>208</v>
      </c>
      <c r="AM333" s="392" t="s">
        <v>212</v>
      </c>
      <c r="AN333" s="392" t="s">
        <v>210</v>
      </c>
      <c r="AO333"/>
    </row>
    <row r="334" spans="1:42" s="64" customFormat="1" ht="12" customHeight="1">
      <c r="A334"/>
      <c r="B334" s="33"/>
      <c r="C334" s="33"/>
      <c r="D334" s="37"/>
      <c r="E334" s="53"/>
      <c r="F334" s="51"/>
      <c r="G334" s="36"/>
      <c r="H334" s="37"/>
      <c r="I334"/>
      <c r="J334" s="364"/>
      <c r="K334" s="38"/>
      <c r="L334"/>
      <c r="M334"/>
      <c r="N334"/>
      <c r="O334"/>
      <c r="P334"/>
      <c r="Q334"/>
      <c r="R334"/>
      <c r="S334"/>
      <c r="T334"/>
      <c r="U334"/>
      <c r="V334"/>
      <c r="W334"/>
      <c r="AA334" s="64" t="str">
        <f>IF(AC334=MIN($AC$334:$AC$341),"Zmin","")</f>
        <v/>
      </c>
      <c r="AB334" s="1129">
        <f>E218</f>
        <v>0</v>
      </c>
      <c r="AC334" s="392" t="str">
        <f>IF(M222="","",M222/100)</f>
        <v/>
      </c>
      <c r="AD334" s="392" t="e">
        <f>J218/100</f>
        <v>#VALUE!</v>
      </c>
      <c r="AE334" s="392" t="e">
        <f>J219/100</f>
        <v>#VALUE!</v>
      </c>
      <c r="AF334" s="392" t="e">
        <f>N218/100</f>
        <v>#VALUE!</v>
      </c>
      <c r="AG334" s="392" t="e">
        <f>N219/100</f>
        <v>#VALUE!</v>
      </c>
      <c r="AH334" s="89">
        <f>E219</f>
        <v>0</v>
      </c>
      <c r="AI334" s="392" t="e">
        <f>VLOOKUP("Zmin",AA334:AE341,2,)</f>
        <v>#N/A</v>
      </c>
      <c r="AJ334" s="392" t="e">
        <f>VLOOKUP("Zmin",AA334:AE341,4,)</f>
        <v>#N/A</v>
      </c>
      <c r="AK334" t="e">
        <f>VLOOKUP("Zmin",AA334:AE341,5,)</f>
        <v>#N/A</v>
      </c>
      <c r="AL334" t="e">
        <f>VLOOKUP("Zmin",AA334:AG341,6,)</f>
        <v>#N/A</v>
      </c>
      <c r="AM334" t="e">
        <f>VLOOKUP("Zmin",AA334:AG341,7,)</f>
        <v>#N/A</v>
      </c>
      <c r="AN334" t="e">
        <f>VLOOKUP("Zmin",AA334:AH341,8,)</f>
        <v>#N/A</v>
      </c>
      <c r="AO334"/>
    </row>
    <row r="335" spans="1:42" s="64" customFormat="1" ht="12" customHeight="1">
      <c r="A335"/>
      <c r="B335" s="33"/>
      <c r="C335" s="33"/>
      <c r="D335" s="37"/>
      <c r="E335" s="53"/>
      <c r="F335" s="51"/>
      <c r="G335" s="36"/>
      <c r="H335" s="37"/>
      <c r="I335"/>
      <c r="J335" s="364"/>
      <c r="K335" s="38"/>
      <c r="L335"/>
      <c r="M335"/>
      <c r="N335"/>
      <c r="O335"/>
      <c r="P335"/>
      <c r="Q335"/>
      <c r="R335"/>
      <c r="S335"/>
      <c r="T335"/>
      <c r="U335"/>
      <c r="V335"/>
      <c r="W335"/>
      <c r="AA335" s="64" t="str">
        <f t="shared" ref="AA335:AA341" si="10">IF(AC335=MIN($AC$334:$AC$341),"Zmin","")</f>
        <v/>
      </c>
      <c r="AB335" s="1129">
        <f>E224</f>
        <v>0</v>
      </c>
      <c r="AC335" s="392" t="str">
        <f>IF(M228="","",M228/100)</f>
        <v/>
      </c>
      <c r="AD335" s="392" t="e">
        <f>J224/100</f>
        <v>#VALUE!</v>
      </c>
      <c r="AE335" s="392" t="e">
        <f>J225/100</f>
        <v>#VALUE!</v>
      </c>
      <c r="AF335" s="392" t="e">
        <f>N224/100</f>
        <v>#VALUE!</v>
      </c>
      <c r="AG335" s="392" t="e">
        <f>N225/100</f>
        <v>#VALUE!</v>
      </c>
      <c r="AH335" s="1129">
        <f>E225</f>
        <v>0</v>
      </c>
      <c r="AI335"/>
      <c r="AJ335"/>
      <c r="AK335"/>
      <c r="AL335"/>
      <c r="AM335"/>
      <c r="AN335"/>
      <c r="AO335"/>
    </row>
    <row r="336" spans="1:42" s="64" customFormat="1" ht="12" customHeight="1">
      <c r="A336"/>
      <c r="B336" s="33"/>
      <c r="C336" s="33"/>
      <c r="D336" s="37"/>
      <c r="E336" s="53"/>
      <c r="F336" s="51"/>
      <c r="G336" s="36"/>
      <c r="H336" s="37"/>
      <c r="I336"/>
      <c r="J336" s="364"/>
      <c r="K336" s="38"/>
      <c r="L336"/>
      <c r="M336"/>
      <c r="N336"/>
      <c r="O336"/>
      <c r="P336"/>
      <c r="Q336"/>
      <c r="R336"/>
      <c r="S336"/>
      <c r="T336"/>
      <c r="U336"/>
      <c r="V336"/>
      <c r="W336"/>
      <c r="AA336" s="64" t="str">
        <f t="shared" si="10"/>
        <v/>
      </c>
      <c r="AB336" s="1129">
        <f>E230</f>
        <v>0</v>
      </c>
      <c r="AC336" s="392" t="str">
        <f>IF(M234="","",M234/100)</f>
        <v/>
      </c>
      <c r="AD336" s="392" t="e">
        <f>J230/100</f>
        <v>#VALUE!</v>
      </c>
      <c r="AE336" s="392" t="e">
        <f>J231/100</f>
        <v>#VALUE!</v>
      </c>
      <c r="AF336" s="392" t="e">
        <f>N230/100</f>
        <v>#VALUE!</v>
      </c>
      <c r="AG336" s="392" t="e">
        <f>N231/100</f>
        <v>#VALUE!</v>
      </c>
      <c r="AH336" s="1129">
        <f>E231</f>
        <v>0</v>
      </c>
      <c r="AI336"/>
      <c r="AJ336"/>
      <c r="AK336"/>
      <c r="AL336"/>
      <c r="AM336"/>
      <c r="AN336"/>
      <c r="AO336"/>
    </row>
    <row r="337" spans="1:41" s="64" customFormat="1" ht="12" customHeight="1">
      <c r="A337"/>
      <c r="B337" s="33"/>
      <c r="C337" s="33"/>
      <c r="D337" s="37"/>
      <c r="E337" s="53"/>
      <c r="F337" s="51"/>
      <c r="G337" s="36"/>
      <c r="H337" s="37"/>
      <c r="I337"/>
      <c r="J337" s="364"/>
      <c r="K337" s="38"/>
      <c r="L337"/>
      <c r="M337"/>
      <c r="N337"/>
      <c r="O337"/>
      <c r="P337"/>
      <c r="Q337"/>
      <c r="R337"/>
      <c r="S337"/>
      <c r="T337"/>
      <c r="U337"/>
      <c r="V337"/>
      <c r="W337"/>
      <c r="AA337" s="64" t="str">
        <f t="shared" si="10"/>
        <v/>
      </c>
      <c r="AB337" s="1129">
        <f>E236</f>
        <v>0</v>
      </c>
      <c r="AC337" s="392" t="str">
        <f>IF(M240="","",M240/100)</f>
        <v/>
      </c>
      <c r="AD337" s="392" t="e">
        <f>J236/100</f>
        <v>#VALUE!</v>
      </c>
      <c r="AE337" s="392" t="e">
        <f>J237/100</f>
        <v>#VALUE!</v>
      </c>
      <c r="AF337" s="392" t="e">
        <f>N236/100</f>
        <v>#VALUE!</v>
      </c>
      <c r="AG337" s="392" t="e">
        <f>N237/100</f>
        <v>#VALUE!</v>
      </c>
      <c r="AH337" s="1129">
        <f>E237</f>
        <v>0</v>
      </c>
      <c r="AI337"/>
      <c r="AJ337"/>
      <c r="AK337"/>
      <c r="AL337"/>
      <c r="AM337"/>
      <c r="AN337"/>
      <c r="AO337"/>
    </row>
    <row r="338" spans="1:41" s="64" customFormat="1" ht="12" customHeight="1">
      <c r="A338"/>
      <c r="B338" s="33"/>
      <c r="C338" s="33"/>
      <c r="D338" s="37"/>
      <c r="E338" s="53"/>
      <c r="F338" s="51"/>
      <c r="G338" s="36"/>
      <c r="H338" s="37"/>
      <c r="I338"/>
      <c r="J338" s="364"/>
      <c r="K338" s="38"/>
      <c r="L338"/>
      <c r="M338"/>
      <c r="N338"/>
      <c r="O338"/>
      <c r="P338"/>
      <c r="Q338"/>
      <c r="R338"/>
      <c r="S338"/>
      <c r="T338"/>
      <c r="U338"/>
      <c r="V338"/>
      <c r="W338"/>
      <c r="AA338" s="64" t="str">
        <f t="shared" si="10"/>
        <v/>
      </c>
      <c r="AB338" s="1129">
        <f>E242</f>
        <v>0</v>
      </c>
      <c r="AC338" s="392" t="str">
        <f>IF(M246="","",M246/100)</f>
        <v/>
      </c>
      <c r="AD338" s="392" t="e">
        <f>J242/100</f>
        <v>#VALUE!</v>
      </c>
      <c r="AE338" s="392" t="e">
        <f>J243/100</f>
        <v>#VALUE!</v>
      </c>
      <c r="AF338" s="392" t="e">
        <f>N242/100</f>
        <v>#VALUE!</v>
      </c>
      <c r="AG338" s="392" t="e">
        <f>N243/100</f>
        <v>#VALUE!</v>
      </c>
      <c r="AH338" s="1129">
        <f>E243</f>
        <v>0</v>
      </c>
      <c r="AI338"/>
      <c r="AJ338"/>
      <c r="AK338"/>
      <c r="AL338"/>
      <c r="AM338"/>
      <c r="AN338"/>
      <c r="AO338"/>
    </row>
    <row r="339" spans="1:41" s="64" customFormat="1" ht="12" customHeight="1">
      <c r="A339"/>
      <c r="B339" s="33"/>
      <c r="C339" s="33"/>
      <c r="D339" s="37"/>
      <c r="E339" s="53"/>
      <c r="F339" s="51"/>
      <c r="G339" s="36"/>
      <c r="H339" s="37"/>
      <c r="I339"/>
      <c r="J339" s="364"/>
      <c r="K339" s="38"/>
      <c r="L339"/>
      <c r="M339"/>
      <c r="N339"/>
      <c r="O339"/>
      <c r="P339"/>
      <c r="Q339"/>
      <c r="R339"/>
      <c r="S339"/>
      <c r="T339"/>
      <c r="U339"/>
      <c r="V339"/>
      <c r="W339"/>
      <c r="AA339" s="64" t="str">
        <f t="shared" si="10"/>
        <v/>
      </c>
      <c r="AB339" s="1129">
        <f>E248</f>
        <v>0</v>
      </c>
      <c r="AC339" s="392" t="str">
        <f>IF(M252="","",M252/100)</f>
        <v/>
      </c>
      <c r="AD339" s="392" t="e">
        <f>J248/100</f>
        <v>#VALUE!</v>
      </c>
      <c r="AE339" s="392" t="e">
        <f>J249/100</f>
        <v>#VALUE!</v>
      </c>
      <c r="AF339" s="392" t="e">
        <f>N248/100</f>
        <v>#VALUE!</v>
      </c>
      <c r="AG339" s="392" t="e">
        <f>N249/100</f>
        <v>#VALUE!</v>
      </c>
      <c r="AH339" s="1129">
        <f>E249</f>
        <v>0</v>
      </c>
      <c r="AI339"/>
      <c r="AJ339"/>
      <c r="AK339"/>
      <c r="AL339"/>
      <c r="AM339"/>
      <c r="AN339"/>
      <c r="AO339"/>
    </row>
    <row r="340" spans="1:41" s="64" customFormat="1" ht="12" customHeight="1">
      <c r="A340"/>
      <c r="B340" s="33"/>
      <c r="C340" s="33"/>
      <c r="D340" s="37"/>
      <c r="E340" s="53"/>
      <c r="F340" s="51"/>
      <c r="G340" s="36"/>
      <c r="H340" s="37"/>
      <c r="I340"/>
      <c r="J340" s="364"/>
      <c r="K340" s="38"/>
      <c r="L340"/>
      <c r="M340"/>
      <c r="N340"/>
      <c r="O340"/>
      <c r="P340"/>
      <c r="Q340"/>
      <c r="R340"/>
      <c r="S340"/>
      <c r="T340"/>
      <c r="U340"/>
      <c r="V340"/>
      <c r="W340"/>
      <c r="AA340" s="64" t="str">
        <f t="shared" si="10"/>
        <v/>
      </c>
      <c r="AB340" s="1129">
        <f>E254</f>
        <v>0</v>
      </c>
      <c r="AC340" s="392" t="str">
        <f>IF(M258="","",M258/100)</f>
        <v/>
      </c>
      <c r="AD340" s="392" t="e">
        <f>J254/100</f>
        <v>#VALUE!</v>
      </c>
      <c r="AE340" s="392" t="e">
        <f>J255/100</f>
        <v>#VALUE!</v>
      </c>
      <c r="AF340" s="392" t="e">
        <f>N254/100</f>
        <v>#VALUE!</v>
      </c>
      <c r="AG340" s="392" t="e">
        <f>N255/100</f>
        <v>#VALUE!</v>
      </c>
      <c r="AH340" s="1129">
        <f>E255</f>
        <v>0</v>
      </c>
      <c r="AI340"/>
      <c r="AJ340"/>
      <c r="AK340"/>
      <c r="AL340"/>
      <c r="AM340"/>
      <c r="AN340"/>
      <c r="AO340"/>
    </row>
    <row r="341" spans="1:41" s="64" customFormat="1" ht="12" customHeight="1" thickBot="1">
      <c r="A341"/>
      <c r="B341" s="33"/>
      <c r="C341" s="33"/>
      <c r="D341" s="37"/>
      <c r="E341" s="53"/>
      <c r="F341" s="51"/>
      <c r="G341" s="36"/>
      <c r="H341" s="37"/>
      <c r="I341"/>
      <c r="J341" s="364"/>
      <c r="K341" s="38"/>
      <c r="L341"/>
      <c r="M341"/>
      <c r="N341"/>
      <c r="O341"/>
      <c r="P341"/>
      <c r="Q341"/>
      <c r="R341"/>
      <c r="S341"/>
      <c r="T341"/>
      <c r="U341"/>
      <c r="V341"/>
      <c r="W341"/>
      <c r="AA341" s="64" t="str">
        <f t="shared" si="10"/>
        <v/>
      </c>
      <c r="AB341" s="1129">
        <f>E260</f>
        <v>0</v>
      </c>
      <c r="AC341" s="392" t="str">
        <f>IF(M264="","",M264/100)</f>
        <v/>
      </c>
      <c r="AD341" s="392" t="e">
        <f>J260/100</f>
        <v>#VALUE!</v>
      </c>
      <c r="AE341" s="392" t="e">
        <f>J261/100</f>
        <v>#VALUE!</v>
      </c>
      <c r="AF341" s="392" t="e">
        <f>N260/100</f>
        <v>#VALUE!</v>
      </c>
      <c r="AG341" s="392" t="e">
        <f>N261/100</f>
        <v>#VALUE!</v>
      </c>
      <c r="AH341" s="1129">
        <f>E261</f>
        <v>0</v>
      </c>
      <c r="AI341"/>
      <c r="AJ341"/>
      <c r="AK341"/>
      <c r="AL341"/>
      <c r="AM341"/>
      <c r="AN341"/>
      <c r="AO341"/>
    </row>
    <row r="342" spans="1:41" s="64" customFormat="1" ht="12" customHeight="1" thickBot="1">
      <c r="A342"/>
      <c r="B342" s="33"/>
      <c r="C342" s="33"/>
      <c r="D342" s="37"/>
      <c r="E342" s="53"/>
      <c r="F342" s="51"/>
      <c r="G342" s="36"/>
      <c r="H342" s="37"/>
      <c r="I342"/>
      <c r="J342" s="364"/>
      <c r="K342" s="38"/>
      <c r="L342"/>
      <c r="M342"/>
      <c r="N342"/>
      <c r="O342"/>
      <c r="P342"/>
      <c r="Q342"/>
      <c r="R342"/>
      <c r="S342"/>
      <c r="T342"/>
      <c r="U342"/>
      <c r="V342"/>
      <c r="W342"/>
      <c r="AA342" s="1552" t="s">
        <v>213</v>
      </c>
      <c r="AB342" s="1553"/>
      <c r="AC342" s="392"/>
      <c r="AD342" s="392"/>
      <c r="AE342" s="392"/>
      <c r="AF342" s="392"/>
      <c r="AG342" s="392"/>
      <c r="AH342" s="392"/>
      <c r="AI342"/>
      <c r="AJ342"/>
      <c r="AK342"/>
      <c r="AL342"/>
      <c r="AM342"/>
      <c r="AN342"/>
      <c r="AO342"/>
    </row>
    <row r="343" spans="1:41" s="64" customFormat="1" ht="12" customHeight="1">
      <c r="A343"/>
      <c r="B343" s="33"/>
      <c r="C343" s="33"/>
      <c r="D343" s="37"/>
      <c r="E343" s="53"/>
      <c r="F343" s="51"/>
      <c r="G343" s="36"/>
      <c r="H343" s="37"/>
      <c r="I343"/>
      <c r="J343" s="364"/>
      <c r="K343" s="38"/>
      <c r="L343"/>
      <c r="M343"/>
      <c r="N343"/>
      <c r="O343"/>
      <c r="P343"/>
      <c r="Q343"/>
      <c r="R343"/>
      <c r="S343"/>
      <c r="T343"/>
      <c r="U343"/>
      <c r="V343"/>
      <c r="W343"/>
      <c r="AA343" s="951" t="s">
        <v>61</v>
      </c>
      <c r="AB343" s="1165">
        <f>IF(AA343=E34,1,0)</f>
        <v>1</v>
      </c>
      <c r="AC343" s="392"/>
      <c r="AD343" s="392"/>
      <c r="AE343" s="392"/>
      <c r="AF343" s="392"/>
      <c r="AG343" s="392"/>
      <c r="AH343" s="392"/>
      <c r="AI343"/>
      <c r="AJ343"/>
      <c r="AK343"/>
      <c r="AL343"/>
      <c r="AM343"/>
      <c r="AN343"/>
      <c r="AO343"/>
    </row>
    <row r="344" spans="1:41" s="64" customFormat="1" ht="12" customHeight="1">
      <c r="A344"/>
      <c r="B344" s="33"/>
      <c r="C344" s="33"/>
      <c r="D344" s="37"/>
      <c r="E344" s="53"/>
      <c r="F344" s="51"/>
      <c r="G344" s="36"/>
      <c r="H344" s="37"/>
      <c r="I344"/>
      <c r="J344" s="364"/>
      <c r="K344" s="38"/>
      <c r="L344"/>
      <c r="M344"/>
      <c r="N344"/>
      <c r="O344"/>
      <c r="P344"/>
      <c r="Q344"/>
      <c r="R344"/>
      <c r="S344"/>
      <c r="T344"/>
      <c r="U344"/>
      <c r="V344"/>
      <c r="W344"/>
      <c r="AA344" s="952" t="s">
        <v>214</v>
      </c>
      <c r="AB344" s="1165">
        <f>IF(AA344=E34,1,0)</f>
        <v>0</v>
      </c>
      <c r="AC344" s="392"/>
      <c r="AD344" s="392"/>
      <c r="AE344" s="392"/>
      <c r="AF344" s="392"/>
      <c r="AG344" s="392"/>
      <c r="AH344" s="392"/>
      <c r="AI344"/>
      <c r="AJ344"/>
      <c r="AK344"/>
      <c r="AL344"/>
      <c r="AM344"/>
      <c r="AN344"/>
      <c r="AO344"/>
    </row>
    <row r="345" spans="1:41" s="64" customFormat="1" ht="12" customHeight="1" thickBot="1">
      <c r="A345"/>
      <c r="B345" s="33"/>
      <c r="C345" s="33"/>
      <c r="D345" s="37"/>
      <c r="E345" s="53"/>
      <c r="F345" s="51"/>
      <c r="G345" s="36"/>
      <c r="H345" s="37"/>
      <c r="I345"/>
      <c r="J345" s="364"/>
      <c r="K345" s="38"/>
      <c r="L345"/>
      <c r="M345"/>
      <c r="N345"/>
      <c r="O345"/>
      <c r="P345"/>
      <c r="Q345"/>
      <c r="R345"/>
      <c r="S345"/>
      <c r="T345"/>
      <c r="U345"/>
      <c r="V345"/>
      <c r="W345"/>
      <c r="AA345" s="953" t="s">
        <v>215</v>
      </c>
      <c r="AB345" s="1166">
        <f>IF(AA345=E34,1,0)</f>
        <v>0</v>
      </c>
      <c r="AC345" s="392"/>
      <c r="AD345" s="392"/>
      <c r="AE345" s="392"/>
      <c r="AF345" s="392"/>
      <c r="AG345" s="392"/>
      <c r="AH345" s="392"/>
      <c r="AI345"/>
      <c r="AJ345"/>
      <c r="AK345"/>
      <c r="AL345"/>
      <c r="AM345"/>
      <c r="AN345"/>
      <c r="AO345"/>
    </row>
    <row r="346" spans="1:41" s="64" customFormat="1" ht="12" customHeight="1">
      <c r="A346"/>
      <c r="B346" s="33"/>
      <c r="C346" s="33"/>
      <c r="D346" s="37"/>
      <c r="E346" s="53"/>
      <c r="F346" s="51"/>
      <c r="G346" s="36"/>
      <c r="H346" s="37"/>
      <c r="I346"/>
      <c r="J346" s="364"/>
      <c r="K346" s="38"/>
      <c r="L346"/>
      <c r="M346"/>
      <c r="N346"/>
      <c r="O346"/>
      <c r="P346"/>
      <c r="Q346"/>
      <c r="R346"/>
      <c r="S346"/>
      <c r="T346"/>
      <c r="U346"/>
      <c r="V346"/>
      <c r="W346"/>
      <c r="AA346"/>
      <c r="AB346"/>
      <c r="AC346"/>
      <c r="AD346"/>
      <c r="AE346"/>
      <c r="AF346"/>
      <c r="AG346"/>
      <c r="AH346"/>
      <c r="AI346"/>
      <c r="AJ346"/>
      <c r="AK346"/>
      <c r="AL346"/>
      <c r="AM346"/>
      <c r="AN346"/>
      <c r="AO346"/>
    </row>
    <row r="347" spans="1:41" ht="12" customHeight="1">
      <c r="J347" s="364"/>
      <c r="AA347" s="670" t="s">
        <v>74</v>
      </c>
      <c r="AC347" s="1167"/>
      <c r="AD347" s="1168">
        <f>IF(MID(A38,1,5)="R1.2 ",115,IF(MID(A38,1,6)="R1.3.1",100,IF(MID(A38,1,5)="R1.4 ",115,IF(MID(A38,1,5)="R1.5 ",170,IF(MID(A38,1,5)="R1.6 ",230,IF(MID(A38,1,5)="R1.7 ",115,IF(MID(A38,1,5)="R1.8 ",115,0)))))))</f>
        <v>0</v>
      </c>
      <c r="AE347" s="51" t="s">
        <v>216</v>
      </c>
      <c r="AG347" t="s">
        <v>217</v>
      </c>
      <c r="AI347" s="51" t="s">
        <v>218</v>
      </c>
      <c r="AJ347" s="51" t="s">
        <v>219</v>
      </c>
      <c r="AK347" t="s">
        <v>220</v>
      </c>
    </row>
    <row r="348" spans="1:41" ht="12" customHeight="1">
      <c r="J348" s="364"/>
      <c r="AA348" s="1169" t="s">
        <v>221</v>
      </c>
      <c r="AB348" s="1167"/>
      <c r="AC348" s="1167"/>
      <c r="AD348" s="1168">
        <f>IF(MID(A38,1,5)="R1.9 ",115,IF(MID(A38,1,5)="R1.10",151,IF(MID(A38,1,5)="R1.11","NA",IF(MID(A38,1,5)="R1.12",100,IF(MID(A38,1,5)="R1.13",115,IF(MID(A38,1,6)="R1.3.2",100,0))))))</f>
        <v>0</v>
      </c>
      <c r="AE348" s="51">
        <v>1</v>
      </c>
      <c r="AG348" s="51">
        <v>0</v>
      </c>
      <c r="AI348" s="51">
        <v>0</v>
      </c>
      <c r="AJ348" s="51">
        <v>0</v>
      </c>
      <c r="AK348" s="51">
        <v>0</v>
      </c>
    </row>
    <row r="349" spans="1:41" ht="12" customHeight="1">
      <c r="J349" s="364"/>
      <c r="AA349" s="1167" t="s">
        <v>222</v>
      </c>
      <c r="AB349" s="1167"/>
      <c r="AC349" s="1167"/>
      <c r="AD349" s="526">
        <v>151</v>
      </c>
      <c r="AE349" s="51">
        <v>2</v>
      </c>
      <c r="AG349" s="51">
        <v>1</v>
      </c>
      <c r="AI349" s="51">
        <v>1</v>
      </c>
      <c r="AJ349" s="51">
        <v>1</v>
      </c>
      <c r="AK349" s="51">
        <v>1</v>
      </c>
    </row>
    <row r="350" spans="1:41" s="64" customFormat="1" ht="12" customHeight="1">
      <c r="A350"/>
      <c r="B350" s="33"/>
      <c r="C350" s="33"/>
      <c r="D350" s="37"/>
      <c r="E350" s="53"/>
      <c r="F350" s="51"/>
      <c r="G350" s="36"/>
      <c r="H350" s="37"/>
      <c r="I350"/>
      <c r="J350" s="364"/>
      <c r="K350" s="38"/>
      <c r="L350"/>
      <c r="M350"/>
      <c r="N350"/>
      <c r="O350"/>
      <c r="P350"/>
      <c r="Q350"/>
      <c r="R350"/>
      <c r="S350"/>
      <c r="T350"/>
      <c r="U350"/>
      <c r="V350"/>
      <c r="W350"/>
      <c r="AA350" s="1167" t="s">
        <v>223</v>
      </c>
      <c r="AB350" s="1167"/>
      <c r="AC350" s="1167"/>
      <c r="AD350" s="35">
        <v>115</v>
      </c>
      <c r="AE350" s="51">
        <v>3</v>
      </c>
      <c r="AG350" s="51">
        <v>2</v>
      </c>
      <c r="AH350"/>
      <c r="AI350" s="51">
        <v>2</v>
      </c>
      <c r="AJ350" s="51">
        <v>2</v>
      </c>
      <c r="AK350" s="51">
        <v>2</v>
      </c>
      <c r="AL350"/>
      <c r="AM350"/>
      <c r="AN350"/>
    </row>
    <row r="351" spans="1:41" s="64" customFormat="1" ht="12" customHeight="1">
      <c r="A351"/>
      <c r="B351" s="33"/>
      <c r="C351" s="33"/>
      <c r="D351" s="37"/>
      <c r="E351" s="53"/>
      <c r="F351" s="51"/>
      <c r="G351" s="36"/>
      <c r="H351" s="37"/>
      <c r="I351"/>
      <c r="J351" s="364"/>
      <c r="K351" s="38"/>
      <c r="L351"/>
      <c r="M351"/>
      <c r="N351"/>
      <c r="O351"/>
      <c r="P351"/>
      <c r="Q351"/>
      <c r="R351"/>
      <c r="S351"/>
      <c r="T351"/>
      <c r="U351"/>
      <c r="V351"/>
      <c r="W351"/>
      <c r="AA351" s="1167" t="s">
        <v>224</v>
      </c>
      <c r="AB351" s="46"/>
      <c r="AC351" s="46"/>
      <c r="AD351" s="321" t="str">
        <f>IF(MID(A38,1,5)="R1.2 ","Highest 15-minute seasonal rating",IF(MID(A38,1,6)="R1.3.1","Infinite source on each end with 90 degree phase shift between sources",IF(MID(A38,1,5)="R1.4 ","Greatest of highest emergency rating or max power transfer of cap bank",IF(MID(A38,1,5)="R1.5 ","Maximum end of line three phase fault",IF(MID(A38,1,5)="R1.6 ","Aggregated generation nameplate capability",IF(MID(A38,1,5)="R1.7 ","Max current flow from the load to generation source",IF(MID(A38,1,5)="R1.8 ","Max current flow from the system to the load","NA")))))))</f>
        <v>NA</v>
      </c>
      <c r="AE351" s="51">
        <v>4</v>
      </c>
      <c r="AG351" s="51">
        <v>3</v>
      </c>
      <c r="AH351"/>
      <c r="AI351"/>
      <c r="AJ351" s="51">
        <v>3</v>
      </c>
      <c r="AK351" s="51">
        <v>3</v>
      </c>
      <c r="AL351"/>
      <c r="AM351"/>
      <c r="AN351"/>
    </row>
    <row r="352" spans="1:41" ht="12" customHeight="1">
      <c r="J352" s="364"/>
      <c r="AA352" s="1169" t="s">
        <v>225</v>
      </c>
      <c r="AB352" s="46"/>
      <c r="AC352" s="46"/>
      <c r="AD352" s="321" t="str">
        <f>IF(MID(A38,1,5)="R1.9 ","Max current flow from the load to the system",IF(MID(A38,1,5)="R1.10","Greater of max nameplate rating or established emergency rating",IF(MID(A38,1,5)="R1.11","THIS REQUIREMENT IS NOT APPLICABLE TO LINES",IF(MID(A38,1,5)="R1.12","Max torque angle, .85 pu voltage and 30 degree power factor angle",IF(MID(A38,1,5)="R1.13","Line equipment limit and all other circuit limitations",IF(MID(A38,1,6)="R1.3.2","Actual source imp. with 1.05 pu voltage and 90 degree phase shift","NA"))))))</f>
        <v>NA</v>
      </c>
      <c r="AE352" s="51">
        <v>5</v>
      </c>
      <c r="AG352" s="51">
        <v>4</v>
      </c>
      <c r="AJ352" s="51">
        <v>4</v>
      </c>
      <c r="AK352" s="51">
        <v>4</v>
      </c>
    </row>
    <row r="353" spans="1:40" ht="12" customHeight="1">
      <c r="J353" s="364"/>
      <c r="AA353" s="1169" t="s">
        <v>226</v>
      </c>
      <c r="AB353" s="46"/>
      <c r="AC353" s="46"/>
      <c r="AD353" s="46"/>
      <c r="AE353" s="51">
        <v>6</v>
      </c>
      <c r="AG353" s="51">
        <v>5</v>
      </c>
      <c r="AJ353" s="51"/>
      <c r="AK353" s="51">
        <v>5</v>
      </c>
    </row>
    <row r="354" spans="1:40" ht="12" customHeight="1">
      <c r="J354" s="364"/>
      <c r="AA354" s="1169" t="s">
        <v>227</v>
      </c>
      <c r="AB354" s="1170"/>
      <c r="AC354" s="46"/>
      <c r="AD354" s="46"/>
      <c r="AE354" s="51">
        <v>7</v>
      </c>
      <c r="AG354" s="51">
        <v>6</v>
      </c>
      <c r="AJ354" s="51"/>
      <c r="AK354" s="51">
        <v>6</v>
      </c>
    </row>
    <row r="355" spans="1:40" ht="12" customHeight="1">
      <c r="J355" s="364"/>
      <c r="AA355" s="1169" t="s">
        <v>228</v>
      </c>
      <c r="AB355" s="1170"/>
      <c r="AC355" s="1170"/>
      <c r="AD355" s="1170"/>
      <c r="AE355" s="51">
        <v>8</v>
      </c>
      <c r="AG355" s="51">
        <v>7</v>
      </c>
      <c r="AJ355" s="51"/>
      <c r="AK355" s="51">
        <v>7</v>
      </c>
    </row>
    <row r="356" spans="1:40" ht="12" customHeight="1">
      <c r="J356" s="364"/>
      <c r="AA356" s="1167" t="s">
        <v>229</v>
      </c>
      <c r="AB356" s="46"/>
      <c r="AC356" s="1170"/>
      <c r="AD356" s="1170"/>
      <c r="AG356" s="51">
        <v>8</v>
      </c>
      <c r="AJ356" s="51"/>
      <c r="AK356" s="51">
        <v>8</v>
      </c>
    </row>
    <row r="357" spans="1:40" ht="12" customHeight="1">
      <c r="J357" s="364"/>
      <c r="AA357" s="1169" t="s">
        <v>230</v>
      </c>
      <c r="AB357" s="525"/>
      <c r="AC357" s="46"/>
      <c r="AD357" s="46"/>
      <c r="AJ357" s="51"/>
    </row>
    <row r="358" spans="1:40" s="46" customFormat="1" ht="12" customHeight="1">
      <c r="A358"/>
      <c r="B358" s="33"/>
      <c r="C358" s="33"/>
      <c r="D358" s="37"/>
      <c r="E358" s="53"/>
      <c r="F358" s="51"/>
      <c r="G358" s="36"/>
      <c r="H358" s="37"/>
      <c r="I358"/>
      <c r="J358" s="364"/>
      <c r="K358" s="38"/>
      <c r="L358"/>
      <c r="M358"/>
      <c r="N358"/>
      <c r="O358"/>
      <c r="P358"/>
      <c r="Q358"/>
      <c r="R358"/>
      <c r="S358"/>
      <c r="T358"/>
      <c r="U358"/>
      <c r="V358"/>
      <c r="W358"/>
      <c r="AA358" s="1167" t="s">
        <v>231</v>
      </c>
      <c r="AB358"/>
      <c r="AC358" s="525"/>
      <c r="AD358" s="525"/>
      <c r="AE358"/>
      <c r="AF358"/>
      <c r="AG358"/>
      <c r="AH358"/>
      <c r="AI358"/>
      <c r="AJ358"/>
      <c r="AK358"/>
      <c r="AL358"/>
      <c r="AM358"/>
      <c r="AN358"/>
    </row>
    <row r="359" spans="1:40" s="41" customFormat="1" ht="12" customHeight="1">
      <c r="A359"/>
      <c r="B359" s="33"/>
      <c r="C359" s="33"/>
      <c r="D359" s="37"/>
      <c r="E359" s="53"/>
      <c r="F359" s="51"/>
      <c r="G359" s="36"/>
      <c r="H359" s="37"/>
      <c r="I359"/>
      <c r="J359" s="364"/>
      <c r="K359" s="38"/>
      <c r="L359"/>
      <c r="M359"/>
      <c r="N359"/>
      <c r="O359"/>
      <c r="P359"/>
      <c r="Q359"/>
      <c r="R359"/>
      <c r="S359"/>
      <c r="T359"/>
      <c r="U359"/>
      <c r="V359"/>
      <c r="W359"/>
      <c r="X359" s="670"/>
      <c r="Y359" s="670"/>
      <c r="Z359" s="670"/>
      <c r="AA359" s="1169" t="s">
        <v>232</v>
      </c>
      <c r="AB359"/>
      <c r="AC359"/>
      <c r="AD359"/>
      <c r="AE359"/>
      <c r="AF359"/>
      <c r="AG359"/>
      <c r="AH359"/>
      <c r="AI359"/>
      <c r="AJ359"/>
      <c r="AK359"/>
      <c r="AL359"/>
      <c r="AM359"/>
      <c r="AN359"/>
    </row>
    <row r="360" spans="1:40" s="41" customFormat="1" ht="12" customHeight="1">
      <c r="A360"/>
      <c r="B360" s="33"/>
      <c r="C360" s="33"/>
      <c r="D360" s="37"/>
      <c r="E360" s="53"/>
      <c r="F360" s="51"/>
      <c r="G360" s="36"/>
      <c r="H360" s="37"/>
      <c r="I360"/>
      <c r="J360" s="364"/>
      <c r="K360" s="38"/>
      <c r="L360"/>
      <c r="M360"/>
      <c r="N360"/>
      <c r="O360"/>
      <c r="P360"/>
      <c r="Q360"/>
      <c r="R360"/>
      <c r="S360"/>
      <c r="T360"/>
      <c r="U360"/>
      <c r="V360"/>
      <c r="W360"/>
      <c r="X360" s="670"/>
      <c r="Y360" s="670"/>
      <c r="Z360" s="670"/>
      <c r="AA360" s="1169"/>
      <c r="AB360" s="784" t="s">
        <v>233</v>
      </c>
      <c r="AC360" s="784" t="s">
        <v>234</v>
      </c>
      <c r="AD360" s="784" t="s">
        <v>235</v>
      </c>
      <c r="AE360" s="784" t="s">
        <v>236</v>
      </c>
      <c r="AF360" s="784" t="s">
        <v>237</v>
      </c>
      <c r="AG360" s="784" t="s">
        <v>238</v>
      </c>
      <c r="AH360" s="784" t="s">
        <v>239</v>
      </c>
      <c r="AI360" s="784" t="s">
        <v>238</v>
      </c>
      <c r="AJ360" s="784" t="s">
        <v>94</v>
      </c>
      <c r="AK360"/>
      <c r="AL360"/>
      <c r="AM360"/>
      <c r="AN360"/>
    </row>
    <row r="361" spans="1:40" s="41" customFormat="1" ht="12" customHeight="1">
      <c r="A361"/>
      <c r="B361" s="33"/>
      <c r="C361" s="33"/>
      <c r="D361" s="37"/>
      <c r="E361" s="53"/>
      <c r="F361" s="51"/>
      <c r="G361" s="36"/>
      <c r="H361" s="37"/>
      <c r="I361"/>
      <c r="J361" s="364"/>
      <c r="K361" s="38"/>
      <c r="L361"/>
      <c r="M361"/>
      <c r="N361"/>
      <c r="O361"/>
      <c r="P361"/>
      <c r="Q361"/>
      <c r="R361"/>
      <c r="S361"/>
      <c r="T361"/>
      <c r="U361"/>
      <c r="V361"/>
      <c r="W361"/>
      <c r="X361" s="670"/>
      <c r="Y361" s="670"/>
      <c r="Z361" s="670"/>
      <c r="AA361" s="621" t="s">
        <v>240</v>
      </c>
      <c r="AB361" s="35"/>
      <c r="AC361" s="35"/>
      <c r="AD361" s="35"/>
      <c r="AE361" s="35"/>
      <c r="AF361" s="35"/>
      <c r="AG361"/>
      <c r="AH361" s="785"/>
      <c r="AI361" s="35"/>
      <c r="AJ361" s="35"/>
      <c r="AK361"/>
      <c r="AL361"/>
      <c r="AM361"/>
      <c r="AN361"/>
    </row>
    <row r="362" spans="1:40" s="41" customFormat="1" ht="45" customHeight="1">
      <c r="A362"/>
      <c r="B362" s="33"/>
      <c r="C362" s="33"/>
      <c r="D362" s="37"/>
      <c r="E362" s="53"/>
      <c r="F362" s="51"/>
      <c r="G362" s="36"/>
      <c r="H362" s="37"/>
      <c r="I362"/>
      <c r="J362" s="364"/>
      <c r="K362" s="38"/>
      <c r="L362"/>
      <c r="M362"/>
      <c r="N362"/>
      <c r="O362"/>
      <c r="P362"/>
      <c r="Q362"/>
      <c r="R362"/>
      <c r="S362"/>
      <c r="T362"/>
      <c r="U362"/>
      <c r="V362"/>
      <c r="W362"/>
      <c r="X362" s="670"/>
      <c r="Y362" s="670"/>
      <c r="Z362" s="670"/>
      <c r="AA362" s="968" t="s">
        <v>241</v>
      </c>
      <c r="AB362" s="969">
        <f>'PRC-025 Generator Data Sheet'!F21</f>
        <v>55.25</v>
      </c>
      <c r="AC362" s="969">
        <f ca="1">E43</f>
        <v>94.080000000000013</v>
      </c>
      <c r="AD362" s="969">
        <f>1.2*AB362</f>
        <v>66.3</v>
      </c>
      <c r="AE362" s="969">
        <f ca="1">SQRT(POWER((AC362*(1+E44)),2)+POWER(AD362,2))</f>
        <v>126.89049950252384</v>
      </c>
      <c r="AF362" s="969">
        <f ca="1">ROUND(ATAN2(AC362,AD362)*180/PI(),2)</f>
        <v>35.17</v>
      </c>
      <c r="AG362" s="970"/>
      <c r="AH362" s="971">
        <v>1.1599999999999999</v>
      </c>
      <c r="AI362" s="969" t="e">
        <f ca="1">ROUNDDOWN((((0.85*E16)^2))*(E22/5/E24)/AE362,3)</f>
        <v>#DIV/0!</v>
      </c>
      <c r="AJ362" s="969" t="e">
        <f ca="1">ROUNDUP(AE362*1000/(0.85*SQRT(3)*E16),2)</f>
        <v>#DIV/0!</v>
      </c>
      <c r="AK362"/>
      <c r="AL362"/>
      <c r="AM362"/>
      <c r="AN362"/>
    </row>
    <row r="363" spans="1:40" s="41" customFormat="1" ht="50.25" customHeight="1" thickBot="1">
      <c r="A363"/>
      <c r="B363" s="33"/>
      <c r="C363" s="33"/>
      <c r="D363" s="37"/>
      <c r="E363" s="53"/>
      <c r="F363" s="51"/>
      <c r="G363" s="36"/>
      <c r="H363" s="37"/>
      <c r="I363"/>
      <c r="J363" s="364"/>
      <c r="K363" s="38"/>
      <c r="L363"/>
      <c r="M363"/>
      <c r="N363"/>
      <c r="O363"/>
      <c r="P363"/>
      <c r="Q363"/>
      <c r="R363"/>
      <c r="S363"/>
      <c r="T363"/>
      <c r="U363"/>
      <c r="V363"/>
      <c r="W363"/>
      <c r="X363" s="670"/>
      <c r="Y363" s="670"/>
      <c r="Z363" s="670"/>
      <c r="AA363" s="972" t="s">
        <v>242</v>
      </c>
      <c r="AB363" s="973">
        <f>'PRC-025 Generator Data Sheet'!F21</f>
        <v>55.25</v>
      </c>
      <c r="AC363" s="973">
        <f ca="1">E43</f>
        <v>94.080000000000013</v>
      </c>
      <c r="AD363" s="973">
        <f ca="1">E45</f>
        <v>88.559999999999988</v>
      </c>
      <c r="AE363" s="973">
        <f ca="1">SQRT(AC363*AC363+AD363*AD363)</f>
        <v>129.2049534654148</v>
      </c>
      <c r="AF363" s="973">
        <f ca="1">ROUND(ATAN2(AC363,AD363)*180/PI(),2)</f>
        <v>43.27</v>
      </c>
      <c r="AG363" s="974"/>
      <c r="AH363" s="975">
        <v>1.1599999999999999</v>
      </c>
      <c r="AI363" s="973" t="e">
        <f ca="1">ROUNDDOWN(((E46*E16/SQRT(3))^2)*(E22/5/E24)/AE363,3)</f>
        <v>#DIV/0!</v>
      </c>
      <c r="AJ363" s="973" t="e">
        <f ca="1">ROUNDUP(AE363*1000/(0.85*SQRT(3)*E16),2)</f>
        <v>#DIV/0!</v>
      </c>
      <c r="AK363"/>
      <c r="AL363"/>
      <c r="AM363"/>
      <c r="AN363"/>
    </row>
    <row r="364" spans="1:40" s="41" customFormat="1" ht="41.25" customHeight="1" thickTop="1" thickBot="1">
      <c r="A364"/>
      <c r="B364" s="33"/>
      <c r="C364" s="33"/>
      <c r="D364" s="37"/>
      <c r="E364" s="53"/>
      <c r="F364" s="51"/>
      <c r="G364" s="36"/>
      <c r="H364" s="37"/>
      <c r="I364"/>
      <c r="J364" s="364"/>
      <c r="K364" s="38"/>
      <c r="L364"/>
      <c r="M364"/>
      <c r="N364"/>
      <c r="O364"/>
      <c r="P364"/>
      <c r="Q364"/>
      <c r="R364"/>
      <c r="S364"/>
      <c r="T364"/>
      <c r="U364"/>
      <c r="V364"/>
      <c r="W364"/>
      <c r="X364" s="670"/>
      <c r="Y364" s="670"/>
      <c r="Z364" s="670"/>
      <c r="AA364" s="954" t="s">
        <v>95</v>
      </c>
      <c r="AB364" s="955"/>
      <c r="AC364" s="955"/>
      <c r="AD364" s="955"/>
      <c r="AE364" s="955"/>
      <c r="AF364" s="955"/>
      <c r="AG364" s="956"/>
      <c r="AH364" s="957"/>
      <c r="AI364" s="955"/>
      <c r="AJ364" s="955"/>
      <c r="AK364" t="s">
        <v>243</v>
      </c>
      <c r="AL364" s="985" t="s">
        <v>244</v>
      </c>
      <c r="AM364" s="986">
        <v>75</v>
      </c>
      <c r="AN364"/>
    </row>
    <row r="365" spans="1:40" s="41" customFormat="1" ht="41.25" customHeight="1" thickBot="1">
      <c r="A365"/>
      <c r="B365" s="33"/>
      <c r="C365" s="33"/>
      <c r="D365" s="37"/>
      <c r="E365" s="53"/>
      <c r="F365" s="51"/>
      <c r="G365" s="36"/>
      <c r="H365" s="37"/>
      <c r="I365"/>
      <c r="J365" s="364"/>
      <c r="K365" s="38"/>
      <c r="L365"/>
      <c r="M365"/>
      <c r="N365"/>
      <c r="O365"/>
      <c r="P365"/>
      <c r="Q365"/>
      <c r="R365"/>
      <c r="S365"/>
      <c r="T365"/>
      <c r="U365"/>
      <c r="V365"/>
      <c r="W365"/>
      <c r="X365" s="670"/>
      <c r="Y365" s="670"/>
      <c r="Z365" s="670"/>
      <c r="AA365" s="976" t="str">
        <f ca="1">IF(PRC_025_MVA&lt;=PRC_025_ASYNC_THRESHOLD,"","T1.17- at 1pu voltage, 130% maximum aggregate nameplate MVA output at rated power fator and static/dynamic reactive power")</f>
        <v>T1.17- at 1pu voltage, 130% maximum aggregate nameplate MVA output at rated power fator and static/dynamic reactive power</v>
      </c>
      <c r="AB365" s="977">
        <f>'PRC-025 Generator Data Sheet'!F22</f>
        <v>0</v>
      </c>
      <c r="AC365" s="977">
        <f ca="1">E43</f>
        <v>94.080000000000013</v>
      </c>
      <c r="AD365" s="977">
        <f ca="1">E45</f>
        <v>88.559999999999988</v>
      </c>
      <c r="AE365" s="977">
        <f ca="1">SQRT(AC365*AC365+AD365*AD365)</f>
        <v>129.2049534654148</v>
      </c>
      <c r="AF365" s="977">
        <f ca="1">ROUND(ATAN2(AC365,AD365)*180/PI(),2)</f>
        <v>43.27</v>
      </c>
      <c r="AG365" s="978"/>
      <c r="AH365" s="979">
        <v>1.35</v>
      </c>
      <c r="AI365" s="977" t="e">
        <f ca="1">ROUNDDOWN(((1*E16)^2)*(E22/5/E24)/AE365,3)</f>
        <v>#DIV/0!</v>
      </c>
      <c r="AJ365" s="977" t="e">
        <f ca="1">ROUNDUP(AE365*1000/(SQRT(3)*E16),2)</f>
        <v>#DIV/0!</v>
      </c>
      <c r="AK365"/>
      <c r="AL365"/>
      <c r="AM365"/>
      <c r="AN365"/>
    </row>
    <row r="366" spans="1:40" s="41" customFormat="1" ht="12" customHeight="1" thickTop="1">
      <c r="A366"/>
      <c r="B366" s="33"/>
      <c r="C366" s="33"/>
      <c r="D366" s="37"/>
      <c r="E366" s="53"/>
      <c r="F366" s="51"/>
      <c r="G366" s="36"/>
      <c r="H366" s="37"/>
      <c r="I366"/>
      <c r="J366" s="364"/>
      <c r="K366" s="38"/>
      <c r="L366"/>
      <c r="M366"/>
      <c r="N366"/>
      <c r="O366"/>
      <c r="P366"/>
      <c r="Q366"/>
      <c r="R366"/>
      <c r="S366"/>
      <c r="T366"/>
      <c r="U366"/>
      <c r="V366"/>
      <c r="W366"/>
      <c r="X366" s="670"/>
      <c r="Y366" s="670"/>
      <c r="Z366" s="670"/>
      <c r="AA366" s="1169"/>
      <c r="AB366"/>
      <c r="AC366"/>
      <c r="AD366"/>
      <c r="AE366"/>
      <c r="AF366"/>
      <c r="AG366"/>
      <c r="AH366"/>
      <c r="AI366"/>
      <c r="AJ366"/>
      <c r="AK366"/>
      <c r="AL366"/>
      <c r="AM366"/>
      <c r="AN366"/>
    </row>
    <row r="367" spans="1:40" s="41" customFormat="1" ht="12" customHeight="1">
      <c r="A367"/>
      <c r="B367" s="33"/>
      <c r="C367" s="33"/>
      <c r="D367" s="37"/>
      <c r="E367" s="53"/>
      <c r="F367" s="51"/>
      <c r="G367" s="36"/>
      <c r="H367" s="37"/>
      <c r="I367"/>
      <c r="J367" s="364"/>
      <c r="K367" s="38"/>
      <c r="L367"/>
      <c r="M367"/>
      <c r="N367"/>
      <c r="O367"/>
      <c r="P367"/>
      <c r="Q367"/>
      <c r="R367"/>
      <c r="S367"/>
      <c r="T367"/>
      <c r="U367"/>
      <c r="V367"/>
      <c r="W367"/>
      <c r="X367" s="670"/>
      <c r="Y367" s="670"/>
      <c r="Z367" s="670"/>
      <c r="AA367"/>
      <c r="AB367"/>
      <c r="AC367"/>
      <c r="AD367"/>
      <c r="AE367"/>
      <c r="AF367"/>
      <c r="AG367"/>
      <c r="AH367"/>
      <c r="AI367"/>
      <c r="AJ367"/>
      <c r="AK367"/>
      <c r="AL367"/>
      <c r="AM367"/>
      <c r="AN367"/>
    </row>
    <row r="368" spans="1:40" s="41" customFormat="1" ht="12" customHeight="1">
      <c r="A368"/>
      <c r="B368" s="33"/>
      <c r="C368" s="33"/>
      <c r="D368" s="37"/>
      <c r="E368" s="53"/>
      <c r="F368" s="51"/>
      <c r="G368" s="36"/>
      <c r="H368" s="37"/>
      <c r="I368"/>
      <c r="J368" s="364"/>
      <c r="K368" s="38"/>
      <c r="L368"/>
      <c r="M368"/>
      <c r="N368"/>
      <c r="O368"/>
      <c r="P368"/>
      <c r="Q368"/>
      <c r="R368"/>
      <c r="S368"/>
      <c r="T368"/>
      <c r="U368"/>
      <c r="V368"/>
      <c r="W368"/>
      <c r="X368" s="670"/>
      <c r="Y368" s="670"/>
      <c r="Z368" s="670"/>
      <c r="AA368" s="1516" t="s">
        <v>245</v>
      </c>
      <c r="AB368" s="321"/>
      <c r="AC368" s="321"/>
      <c r="AD368" s="321"/>
      <c r="AE368" s="321"/>
      <c r="AF368" s="35"/>
      <c r="AG368"/>
      <c r="AH368" s="33"/>
      <c r="AI368"/>
      <c r="AJ368"/>
      <c r="AK368"/>
      <c r="AL368"/>
      <c r="AM368"/>
      <c r="AN368"/>
    </row>
    <row r="369" spans="1:40" ht="12" customHeight="1">
      <c r="J369" s="364"/>
      <c r="AA369" s="1516"/>
      <c r="AB369" s="784" t="s">
        <v>246</v>
      </c>
      <c r="AC369" s="784" t="s">
        <v>247</v>
      </c>
      <c r="AD369" s="670" t="s">
        <v>248</v>
      </c>
      <c r="AE369" s="670" t="s">
        <v>249</v>
      </c>
      <c r="AF369" s="670" t="s">
        <v>250</v>
      </c>
      <c r="AH369" s="670" t="s">
        <v>251</v>
      </c>
    </row>
    <row r="370" spans="1:40" ht="12" customHeight="1">
      <c r="J370" s="364"/>
      <c r="AA370" s="670" t="str">
        <f t="shared" ref="AA370:AA381" si="11">AH370</f>
        <v/>
      </c>
      <c r="AB370" s="321">
        <f>IFERROR(E62/100,0)</f>
        <v>0</v>
      </c>
      <c r="AC370" s="321">
        <f>IFERROR(E63/100,0)</f>
        <v>0</v>
      </c>
      <c r="AD370" s="1169" t="e">
        <f>E64/100</f>
        <v>#VALUE!</v>
      </c>
      <c r="AE370" s="321" t="e">
        <f>E65/100</f>
        <v>#VALUE!</v>
      </c>
      <c r="AF370" s="35">
        <f>IF(SQRT(AB370^2+AC370^2)=0,99999,SQRT(AB370^2+AC370^2))</f>
        <v>99999</v>
      </c>
      <c r="AG370" t="str">
        <f t="shared" ref="AG370:AG381" si="12">IF(AF370=MIN($AF$370:$AF$381),"Shortest","")</f>
        <v>Shortest</v>
      </c>
      <c r="AH370" s="33" t="str">
        <f>E61</f>
        <v/>
      </c>
    </row>
    <row r="371" spans="1:40" s="41" customFormat="1" ht="12" customHeight="1">
      <c r="A371"/>
      <c r="B371" s="33"/>
      <c r="C371" s="33"/>
      <c r="D371" s="37"/>
      <c r="E371" s="53"/>
      <c r="F371" s="51"/>
      <c r="G371" s="36"/>
      <c r="H371" s="37"/>
      <c r="I371"/>
      <c r="J371" s="364"/>
      <c r="K371" s="38"/>
      <c r="L371"/>
      <c r="M371"/>
      <c r="N371"/>
      <c r="O371"/>
      <c r="P371"/>
      <c r="Q371"/>
      <c r="R371"/>
      <c r="S371"/>
      <c r="T371"/>
      <c r="U371"/>
      <c r="V371"/>
      <c r="W371"/>
      <c r="X371" s="670"/>
      <c r="Y371" s="670"/>
      <c r="Z371" s="670"/>
      <c r="AA371" s="670" t="str">
        <f t="shared" si="11"/>
        <v/>
      </c>
      <c r="AB371" s="321">
        <f>IFERROR(E69/100,0)</f>
        <v>0</v>
      </c>
      <c r="AC371" s="321">
        <f>IFERROR(E70/100,0)</f>
        <v>0</v>
      </c>
      <c r="AD371" s="1169" t="e">
        <f>E71/100</f>
        <v>#VALUE!</v>
      </c>
      <c r="AE371" s="321" t="e">
        <f>E72/100</f>
        <v>#VALUE!</v>
      </c>
      <c r="AF371" s="35">
        <f t="shared" ref="AF371:AF381" si="13">IF(SQRT(AB371^2+AC371^2)=0,99999,SQRT(AB371^2+AC371^2))</f>
        <v>99999</v>
      </c>
      <c r="AG371" t="str">
        <f t="shared" si="12"/>
        <v>Shortest</v>
      </c>
      <c r="AH371" s="33" t="str">
        <f>E68</f>
        <v/>
      </c>
      <c r="AI371"/>
      <c r="AJ371"/>
      <c r="AK371"/>
      <c r="AL371"/>
      <c r="AM371"/>
      <c r="AN371"/>
    </row>
    <row r="372" spans="1:40" ht="12" customHeight="1">
      <c r="J372" s="364"/>
      <c r="AA372" s="670" t="str">
        <f t="shared" si="11"/>
        <v/>
      </c>
      <c r="AB372" s="321">
        <f>IFERROR(E76/100,0)</f>
        <v>0</v>
      </c>
      <c r="AC372" s="321">
        <f>IFERROR(E77/100,0)</f>
        <v>0</v>
      </c>
      <c r="AD372" s="321">
        <f>IFERROR(E78/100,0)</f>
        <v>0</v>
      </c>
      <c r="AE372" s="321">
        <f>IFERROR(E79/100,0)</f>
        <v>0</v>
      </c>
      <c r="AF372" s="35">
        <f t="shared" ref="AF372:AF377" si="14">IF(SQRT(AB372^2+AC372^2)=0,99999,SQRT(AB372^2+AC372^2))</f>
        <v>99999</v>
      </c>
      <c r="AG372" t="str">
        <f t="shared" si="12"/>
        <v>Shortest</v>
      </c>
      <c r="AH372" s="33" t="str">
        <f>E75</f>
        <v/>
      </c>
    </row>
    <row r="373" spans="1:40" ht="12" customHeight="1">
      <c r="J373" s="364"/>
      <c r="AA373" s="670" t="str">
        <f t="shared" si="11"/>
        <v/>
      </c>
      <c r="AB373" s="321">
        <f>IFERROR(E83/100,0)</f>
        <v>0</v>
      </c>
      <c r="AC373" s="321">
        <f>IFERROR(E84/100,0)</f>
        <v>0</v>
      </c>
      <c r="AD373" s="321">
        <f>IFERROR(E85/100,0)</f>
        <v>0</v>
      </c>
      <c r="AE373" s="321">
        <f>IFERROR(E86/100,0)</f>
        <v>0</v>
      </c>
      <c r="AF373" s="35">
        <f t="shared" si="14"/>
        <v>99999</v>
      </c>
      <c r="AG373" t="str">
        <f t="shared" si="12"/>
        <v>Shortest</v>
      </c>
      <c r="AH373" s="33" t="str">
        <f>E82</f>
        <v/>
      </c>
    </row>
    <row r="374" spans="1:40" ht="12" customHeight="1">
      <c r="J374" s="364"/>
      <c r="AA374" s="670" t="str">
        <f t="shared" si="11"/>
        <v/>
      </c>
      <c r="AB374" s="321">
        <f>IFERROR(E90/100,0)</f>
        <v>0</v>
      </c>
      <c r="AC374" s="321">
        <f>IFERROR(E91/100,0)</f>
        <v>0</v>
      </c>
      <c r="AD374" s="321">
        <f>IFERROR(E92/100,0)</f>
        <v>0</v>
      </c>
      <c r="AE374" s="321">
        <f>IFERROR(E93/100,0)</f>
        <v>0</v>
      </c>
      <c r="AF374" s="35">
        <f t="shared" si="14"/>
        <v>99999</v>
      </c>
      <c r="AG374" t="str">
        <f t="shared" si="12"/>
        <v>Shortest</v>
      </c>
      <c r="AH374" s="33" t="str">
        <f>E89</f>
        <v/>
      </c>
      <c r="AN374" s="670"/>
    </row>
    <row r="375" spans="1:40" ht="12" customHeight="1">
      <c r="J375" s="364"/>
      <c r="AA375" s="670" t="str">
        <f t="shared" si="11"/>
        <v/>
      </c>
      <c r="AB375" s="321">
        <f>IFERROR(E97/100,0)</f>
        <v>0</v>
      </c>
      <c r="AC375" s="321">
        <f>IFERROR(E98/100,0)</f>
        <v>0</v>
      </c>
      <c r="AD375" s="321">
        <f>IFERROR(E99/100,0)</f>
        <v>0</v>
      </c>
      <c r="AE375" s="321">
        <f>IFERROR(E100/100,0)</f>
        <v>0</v>
      </c>
      <c r="AF375" s="35">
        <f t="shared" si="14"/>
        <v>99999</v>
      </c>
      <c r="AG375" t="str">
        <f t="shared" si="12"/>
        <v>Shortest</v>
      </c>
      <c r="AH375" s="33" t="str">
        <f>E96</f>
        <v/>
      </c>
      <c r="AN375" s="670"/>
    </row>
    <row r="376" spans="1:40" ht="12" customHeight="1">
      <c r="J376" s="364"/>
      <c r="AA376" s="670" t="str">
        <f t="shared" si="11"/>
        <v/>
      </c>
      <c r="AB376" s="321">
        <f>IFERROR(E104/100,0)</f>
        <v>0</v>
      </c>
      <c r="AC376" s="321">
        <f>IFERROR(E105/100,0)</f>
        <v>0</v>
      </c>
      <c r="AD376" s="321">
        <f>IFERROR(E106/100,0)</f>
        <v>0</v>
      </c>
      <c r="AE376" s="321">
        <f>IFERROR(E107/100,0)</f>
        <v>0</v>
      </c>
      <c r="AF376" s="35">
        <f t="shared" si="14"/>
        <v>99999</v>
      </c>
      <c r="AG376" t="str">
        <f t="shared" si="12"/>
        <v>Shortest</v>
      </c>
      <c r="AH376" s="33" t="str">
        <f>E103</f>
        <v/>
      </c>
      <c r="AN376" s="670"/>
    </row>
    <row r="377" spans="1:40" ht="12" customHeight="1">
      <c r="J377" s="364"/>
      <c r="AA377" s="670" t="str">
        <f t="shared" si="11"/>
        <v/>
      </c>
      <c r="AB377" s="321">
        <f>IFERROR(E111/100,0)</f>
        <v>0</v>
      </c>
      <c r="AC377" s="321">
        <f>IFERROR(E112/100,0)</f>
        <v>0</v>
      </c>
      <c r="AD377" s="321">
        <f>IFERROR(E113/100,0)</f>
        <v>0</v>
      </c>
      <c r="AE377" s="321">
        <f>IFERROR(E114/100,0)</f>
        <v>0</v>
      </c>
      <c r="AF377" s="35">
        <f t="shared" si="14"/>
        <v>99999</v>
      </c>
      <c r="AG377" t="str">
        <f t="shared" si="12"/>
        <v>Shortest</v>
      </c>
      <c r="AH377" s="33" t="str">
        <f>E110</f>
        <v/>
      </c>
    </row>
    <row r="378" spans="1:40" ht="12" customHeight="1">
      <c r="J378" s="364"/>
      <c r="AA378" s="670">
        <f t="shared" si="11"/>
        <v>0</v>
      </c>
      <c r="AB378" s="321">
        <f>IF(E191="",0,(J192+M192)/100)</f>
        <v>0</v>
      </c>
      <c r="AC378" s="321">
        <f>IF(E191="",0,(J193+M193)/100)</f>
        <v>0</v>
      </c>
      <c r="AD378" s="321">
        <f>IF(E191="",0,(J192+O192)/100)</f>
        <v>0</v>
      </c>
      <c r="AE378" s="321">
        <f>IF(E191="",0,(J193+O193)/100)</f>
        <v>0</v>
      </c>
      <c r="AF378" s="35">
        <f t="shared" si="13"/>
        <v>99999</v>
      </c>
      <c r="AG378" t="str">
        <f t="shared" si="12"/>
        <v>Shortest</v>
      </c>
      <c r="AH378" s="33">
        <f>E191</f>
        <v>0</v>
      </c>
    </row>
    <row r="379" spans="1:40" ht="12" customHeight="1">
      <c r="J379" s="364"/>
      <c r="AA379" s="670">
        <f t="shared" si="11"/>
        <v>0</v>
      </c>
      <c r="AB379" s="321">
        <f>IF(E196="",0,(J197+M197)/100)</f>
        <v>0</v>
      </c>
      <c r="AC379" s="321">
        <f>IF(E196="",0,(J198+M198)/100)</f>
        <v>0</v>
      </c>
      <c r="AD379" s="321">
        <f>IF(E196="",0,(J197+O197)/100)</f>
        <v>0</v>
      </c>
      <c r="AE379" s="321">
        <f>IF(E196="",0,(J198+O198)/100)</f>
        <v>0</v>
      </c>
      <c r="AF379" s="35">
        <f t="shared" si="13"/>
        <v>99999</v>
      </c>
      <c r="AG379" t="str">
        <f t="shared" si="12"/>
        <v>Shortest</v>
      </c>
      <c r="AH379" s="33">
        <f>E196</f>
        <v>0</v>
      </c>
    </row>
    <row r="380" spans="1:40" ht="12" customHeight="1">
      <c r="J380" s="364"/>
      <c r="AA380" s="670">
        <f t="shared" si="11"/>
        <v>0</v>
      </c>
      <c r="AB380" s="321">
        <f>IF(E201="",0,(J202+M202)/100)</f>
        <v>0</v>
      </c>
      <c r="AC380" s="321">
        <f>IF(E201="",0,(J203+M203)/100)</f>
        <v>0</v>
      </c>
      <c r="AD380" s="321">
        <f>IF(E201="",0,(J202+O202)/100)</f>
        <v>0</v>
      </c>
      <c r="AE380" s="321">
        <f>IF(E201="",0,(J203+O203)/100)</f>
        <v>0</v>
      </c>
      <c r="AF380" s="35">
        <f t="shared" si="13"/>
        <v>99999</v>
      </c>
      <c r="AG380" t="str">
        <f t="shared" si="12"/>
        <v>Shortest</v>
      </c>
      <c r="AH380" s="33">
        <f>E201</f>
        <v>0</v>
      </c>
    </row>
    <row r="381" spans="1:40" ht="12" customHeight="1">
      <c r="J381" s="364"/>
      <c r="AA381" s="670">
        <f t="shared" si="11"/>
        <v>0</v>
      </c>
      <c r="AB381" s="321">
        <f>IF(E206="",0,(J207+M207)/100)</f>
        <v>0</v>
      </c>
      <c r="AC381" s="321">
        <f>IF(E206="",0,(J208+M208)/100)</f>
        <v>0</v>
      </c>
      <c r="AD381" s="321">
        <f>IF(E206="",0,(J207+O207)/100)</f>
        <v>0</v>
      </c>
      <c r="AE381" s="321">
        <f>IF(E206="",0,(J208+O208)/100)</f>
        <v>0</v>
      </c>
      <c r="AF381" s="35">
        <f t="shared" si="13"/>
        <v>99999</v>
      </c>
      <c r="AG381" t="str">
        <f t="shared" si="12"/>
        <v>Shortest</v>
      </c>
      <c r="AH381" s="33">
        <f>E206</f>
        <v>0</v>
      </c>
      <c r="AN381" s="670"/>
    </row>
    <row r="382" spans="1:40" ht="12" customHeight="1">
      <c r="J382" s="364"/>
      <c r="AA382" s="142"/>
      <c r="AB382" s="392"/>
      <c r="AC382" s="51"/>
      <c r="AD382" s="51"/>
      <c r="AE382" s="392"/>
      <c r="AF382" s="51"/>
      <c r="AG382" s="51"/>
      <c r="AN382" s="670"/>
    </row>
    <row r="383" spans="1:40" ht="12" customHeight="1">
      <c r="J383" s="364"/>
      <c r="AA383" s="1741" t="s">
        <v>252</v>
      </c>
      <c r="AB383" s="784"/>
      <c r="AC383" s="35"/>
      <c r="AD383" s="35"/>
      <c r="AE383" s="784"/>
      <c r="AF383" s="35"/>
      <c r="AG383" s="51"/>
      <c r="AN383" s="670"/>
    </row>
    <row r="384" spans="1:40" ht="12" customHeight="1">
      <c r="J384" s="364"/>
      <c r="AA384" s="1741"/>
      <c r="AB384" s="784" t="s">
        <v>253</v>
      </c>
      <c r="AC384" s="784" t="s">
        <v>254</v>
      </c>
      <c r="AD384" s="784" t="s">
        <v>255</v>
      </c>
      <c r="AE384" s="784" t="s">
        <v>256</v>
      </c>
      <c r="AF384" s="784" t="s">
        <v>250</v>
      </c>
      <c r="AG384" s="51"/>
      <c r="AH384" t="s">
        <v>252</v>
      </c>
      <c r="AJ384" t="s">
        <v>257</v>
      </c>
      <c r="AN384" s="670"/>
    </row>
    <row r="385" spans="27:40" ht="12" customHeight="1">
      <c r="AA385" s="321" t="str">
        <f>AH385</f>
        <v/>
      </c>
      <c r="AB385" s="1169" t="e">
        <f>E122/100</f>
        <v>#VALUE!</v>
      </c>
      <c r="AC385" s="321">
        <f>IFERROR(E123/100,0)</f>
        <v>0</v>
      </c>
      <c r="AD385" s="321">
        <f>'3) Aspen Impedances'!E152</f>
        <v>0</v>
      </c>
      <c r="AE385" s="321">
        <f>'3) Aspen Impedances'!F152</f>
        <v>0</v>
      </c>
      <c r="AF385" s="51"/>
      <c r="AG385" s="51" t="str">
        <f t="shared" ref="AG385:AG392" si="15">IF(AH385=$AJ$385,"Longest","")</f>
        <v>Longest</v>
      </c>
      <c r="AH385" s="33" t="str">
        <f>E121</f>
        <v/>
      </c>
      <c r="AJ385" t="str">
        <f>IF(ISERROR(VLOOKUP("Long",'5) Infeed'!$O$42:$P$49,2,FALSE)),"NA",VLOOKUP("Long",'5) Infeed'!$O$42:$P$49,2,FALSE))</f>
        <v/>
      </c>
      <c r="AN385" s="670"/>
    </row>
    <row r="386" spans="27:40" ht="12" customHeight="1">
      <c r="AA386" s="321" t="str">
        <f t="shared" ref="AA386:AA392" si="16">AH386</f>
        <v/>
      </c>
      <c r="AB386" s="1169">
        <f>IFERROR(E130/100,0)</f>
        <v>0</v>
      </c>
      <c r="AC386" s="1169">
        <f>IFERROR(E131/100,0)</f>
        <v>0</v>
      </c>
      <c r="AD386" s="321">
        <f>'3) Aspen Impedances'!E160</f>
        <v>0</v>
      </c>
      <c r="AE386" s="321">
        <f>'3) Aspen Impedances'!F160</f>
        <v>0</v>
      </c>
      <c r="AF386" s="51"/>
      <c r="AG386" s="51" t="str">
        <f t="shared" si="15"/>
        <v>Longest</v>
      </c>
      <c r="AH386" s="33" t="str">
        <f>E129</f>
        <v/>
      </c>
      <c r="AN386" s="670"/>
    </row>
    <row r="387" spans="27:40" ht="12" customHeight="1">
      <c r="AA387" s="321" t="str">
        <f t="shared" si="16"/>
        <v/>
      </c>
      <c r="AB387" s="321">
        <f>IFERROR(E138/100,0)</f>
        <v>0</v>
      </c>
      <c r="AC387" s="321">
        <f>IFERROR(E139/100,0)</f>
        <v>0</v>
      </c>
      <c r="AD387" s="321">
        <f>'3) Aspen Impedances'!E168</f>
        <v>0</v>
      </c>
      <c r="AE387" s="321">
        <f>'3) Aspen Impedances'!F168</f>
        <v>0</v>
      </c>
      <c r="AF387" s="51"/>
      <c r="AG387" s="51" t="str">
        <f t="shared" si="15"/>
        <v>Longest</v>
      </c>
      <c r="AH387" s="33" t="str">
        <f>E137</f>
        <v/>
      </c>
      <c r="AN387" s="670"/>
    </row>
    <row r="388" spans="27:40" ht="12" customHeight="1">
      <c r="AA388" s="321" t="str">
        <f t="shared" si="16"/>
        <v/>
      </c>
      <c r="AB388" s="321">
        <f>IFERROR(E146/100,0)</f>
        <v>0</v>
      </c>
      <c r="AC388" s="321">
        <f>IFERROR(E147/100,0)</f>
        <v>0</v>
      </c>
      <c r="AD388" s="321">
        <f>'3) Aspen Impedances'!E176</f>
        <v>0</v>
      </c>
      <c r="AE388" s="321">
        <f>'3) Aspen Impedances'!F176</f>
        <v>0</v>
      </c>
      <c r="AF388" s="51"/>
      <c r="AG388" s="51" t="str">
        <f t="shared" si="15"/>
        <v>Longest</v>
      </c>
      <c r="AH388" s="33" t="str">
        <f>E145</f>
        <v/>
      </c>
      <c r="AN388" s="670"/>
    </row>
    <row r="389" spans="27:40" ht="12" customHeight="1">
      <c r="AA389" s="321" t="str">
        <f t="shared" si="16"/>
        <v/>
      </c>
      <c r="AB389" s="321">
        <f>IFERROR(E154/100,0)</f>
        <v>0</v>
      </c>
      <c r="AC389" s="321">
        <f>IFERROR(E155/100,0)</f>
        <v>0</v>
      </c>
      <c r="AD389" s="321">
        <f>'3) Aspen Impedances'!E184</f>
        <v>0</v>
      </c>
      <c r="AE389" s="321">
        <f>'3) Aspen Impedances'!F184</f>
        <v>0</v>
      </c>
      <c r="AG389" s="51" t="str">
        <f t="shared" si="15"/>
        <v>Longest</v>
      </c>
      <c r="AH389" s="33" t="str">
        <f>E153</f>
        <v/>
      </c>
      <c r="AN389" s="670"/>
    </row>
    <row r="390" spans="27:40" ht="12" customHeight="1">
      <c r="AA390" s="321" t="str">
        <f t="shared" si="16"/>
        <v/>
      </c>
      <c r="AB390" s="321">
        <f>IFERROR(E162/100,0)</f>
        <v>0</v>
      </c>
      <c r="AC390" s="321">
        <f>IFERROR(E163/100,0)</f>
        <v>0</v>
      </c>
      <c r="AD390" s="321">
        <f>'3) Aspen Impedances'!E192</f>
        <v>0</v>
      </c>
      <c r="AE390" s="321">
        <f>'3) Aspen Impedances'!F192</f>
        <v>0</v>
      </c>
      <c r="AG390" s="51" t="str">
        <f t="shared" si="15"/>
        <v>Longest</v>
      </c>
      <c r="AH390" s="33" t="str">
        <f>E161</f>
        <v/>
      </c>
      <c r="AN390" s="670"/>
    </row>
    <row r="391" spans="27:40" ht="12" customHeight="1">
      <c r="AA391" s="321" t="str">
        <f t="shared" si="16"/>
        <v/>
      </c>
      <c r="AB391" s="321">
        <f>IFERROR(E170/100,0)</f>
        <v>0</v>
      </c>
      <c r="AC391" s="321">
        <f>IFERROR(E171/100,0)</f>
        <v>0</v>
      </c>
      <c r="AD391" s="321">
        <f>'3) Aspen Impedances'!E200</f>
        <v>0</v>
      </c>
      <c r="AE391" s="321">
        <f>'3) Aspen Impedances'!F200</f>
        <v>0</v>
      </c>
      <c r="AG391" s="51" t="str">
        <f t="shared" si="15"/>
        <v>Longest</v>
      </c>
      <c r="AH391" s="33" t="str">
        <f>E169</f>
        <v/>
      </c>
      <c r="AN391" s="670"/>
    </row>
    <row r="392" spans="27:40" ht="12" customHeight="1">
      <c r="AA392" s="321" t="str">
        <f t="shared" si="16"/>
        <v/>
      </c>
      <c r="AB392" s="321">
        <f>IFERROR(E178/100,0)</f>
        <v>0</v>
      </c>
      <c r="AC392" s="321">
        <f>IFERROR(E179/100,0)</f>
        <v>0</v>
      </c>
      <c r="AD392" s="321">
        <f>'3) Aspen Impedances'!E208</f>
        <v>0</v>
      </c>
      <c r="AE392" s="321">
        <f>'3) Aspen Impedances'!F208</f>
        <v>0</v>
      </c>
      <c r="AG392" s="51" t="str">
        <f t="shared" si="15"/>
        <v>Longest</v>
      </c>
      <c r="AH392" s="33" t="str">
        <f>E177</f>
        <v/>
      </c>
      <c r="AN392" s="670"/>
    </row>
    <row r="393" spans="27:40" ht="12" customHeight="1">
      <c r="AA393" s="142"/>
      <c r="AN393" s="670"/>
    </row>
    <row r="395" spans="27:40" ht="12" customHeight="1">
      <c r="AA395" s="722" t="s">
        <v>258</v>
      </c>
      <c r="AB395" s="392" t="s">
        <v>259</v>
      </c>
      <c r="AC395" s="392" t="s">
        <v>260</v>
      </c>
    </row>
    <row r="396" spans="27:40" ht="12" customHeight="1">
      <c r="AA396" s="392" t="s">
        <v>261</v>
      </c>
      <c r="AB396" s="392" t="s">
        <v>261</v>
      </c>
      <c r="AC396" s="392" t="s">
        <v>261</v>
      </c>
    </row>
    <row r="397" spans="27:40" ht="12" customHeight="1">
      <c r="AA397" s="392" t="s">
        <v>262</v>
      </c>
      <c r="AB397" s="392" t="s">
        <v>262</v>
      </c>
      <c r="AC397" s="392" t="s">
        <v>262</v>
      </c>
    </row>
    <row r="398" spans="27:40" ht="12" customHeight="1">
      <c r="AA398" s="392" t="s">
        <v>263</v>
      </c>
      <c r="AB398" s="392" t="s">
        <v>263</v>
      </c>
      <c r="AC398" s="392" t="s">
        <v>263</v>
      </c>
    </row>
    <row r="399" spans="27:40" ht="12" customHeight="1">
      <c r="AA399" s="392" t="s">
        <v>264</v>
      </c>
      <c r="AB399" s="392" t="s">
        <v>264</v>
      </c>
      <c r="AC399" s="392" t="s">
        <v>264</v>
      </c>
    </row>
    <row r="400" spans="27:40" ht="12" customHeight="1">
      <c r="AA400" s="392" t="s">
        <v>265</v>
      </c>
      <c r="AB400" s="392" t="s">
        <v>265</v>
      </c>
      <c r="AC400" s="392" t="s">
        <v>265</v>
      </c>
    </row>
    <row r="401" spans="27:32" ht="12" customHeight="1">
      <c r="AA401" s="392" t="s">
        <v>266</v>
      </c>
      <c r="AB401" s="392" t="s">
        <v>266</v>
      </c>
      <c r="AC401" s="392" t="s">
        <v>266</v>
      </c>
    </row>
    <row r="403" spans="27:32" ht="12" customHeight="1">
      <c r="AA403" s="392" t="s">
        <v>267</v>
      </c>
      <c r="AB403" s="392" t="s">
        <v>268</v>
      </c>
      <c r="AC403" s="392" t="s">
        <v>269</v>
      </c>
      <c r="AD403" s="392" t="s">
        <v>270</v>
      </c>
      <c r="AE403" s="392" t="s">
        <v>271</v>
      </c>
      <c r="AF403" s="784" t="s">
        <v>269</v>
      </c>
    </row>
    <row r="404" spans="27:32" ht="12" customHeight="1">
      <c r="AA404" s="51">
        <v>69</v>
      </c>
      <c r="AB404" s="51">
        <v>600</v>
      </c>
      <c r="AC404" s="51" t="e">
        <f>VLOOKUP(E16,AA404:AB410,2,FALSE)</f>
        <v>#N/A</v>
      </c>
      <c r="AD404" s="392">
        <v>350</v>
      </c>
      <c r="AE404" s="51">
        <v>67</v>
      </c>
      <c r="AF404" s="51" t="e">
        <f>VLOOKUP(E16,AA404:AD410,4,FALSE)</f>
        <v>#N/A</v>
      </c>
    </row>
    <row r="405" spans="27:32" ht="12" customHeight="1">
      <c r="AA405" s="51">
        <v>115</v>
      </c>
      <c r="AB405" s="51">
        <v>1000</v>
      </c>
      <c r="AD405" s="392">
        <v>600</v>
      </c>
      <c r="AE405" s="51">
        <v>69</v>
      </c>
      <c r="AF405" s="51" t="e">
        <f>VLOOKUP(E16,AA404:AE410,5,FALSE)</f>
        <v>#N/A</v>
      </c>
    </row>
    <row r="406" spans="27:32" ht="12" customHeight="1">
      <c r="AA406" s="51">
        <v>138</v>
      </c>
      <c r="AB406" s="51">
        <v>1200</v>
      </c>
      <c r="AD406" s="392">
        <v>700</v>
      </c>
      <c r="AE406" s="51">
        <v>67</v>
      </c>
      <c r="AF406" s="51"/>
    </row>
    <row r="407" spans="27:32" ht="12" customHeight="1">
      <c r="AA407" s="51">
        <v>161</v>
      </c>
      <c r="AB407" s="51">
        <v>1400</v>
      </c>
      <c r="AD407" s="392">
        <v>800</v>
      </c>
      <c r="AE407" s="51">
        <v>66</v>
      </c>
      <c r="AF407" s="51"/>
    </row>
    <row r="408" spans="27:32" ht="12" customHeight="1">
      <c r="AA408" s="51">
        <v>230</v>
      </c>
      <c r="AB408" s="51">
        <v>2000</v>
      </c>
      <c r="AD408" s="392">
        <v>1200</v>
      </c>
      <c r="AE408" s="51">
        <v>69</v>
      </c>
      <c r="AF408" s="51"/>
    </row>
    <row r="409" spans="27:32" ht="12" customHeight="1">
      <c r="AA409" s="51">
        <v>345</v>
      </c>
      <c r="AB409" s="51">
        <v>3000</v>
      </c>
      <c r="AD409" s="392">
        <v>1800</v>
      </c>
      <c r="AE409" s="51">
        <v>69</v>
      </c>
      <c r="AF409" s="51"/>
    </row>
    <row r="410" spans="27:32" ht="12" customHeight="1">
      <c r="AA410" s="51">
        <v>500</v>
      </c>
      <c r="AB410" s="51">
        <v>4500</v>
      </c>
      <c r="AD410" s="392">
        <v>2500</v>
      </c>
      <c r="AE410" s="51">
        <v>64</v>
      </c>
      <c r="AF410" s="51"/>
    </row>
    <row r="413" spans="27:32" ht="12" customHeight="1">
      <c r="AA413" s="33" t="str">
        <f>IF(E61="","BLANK",E61)</f>
        <v>BLANK</v>
      </c>
      <c r="AB413" s="51">
        <f>IF(AA413="BLANK",1,0)</f>
        <v>1</v>
      </c>
      <c r="AC413" s="51">
        <f>SUM(AB413)</f>
        <v>1</v>
      </c>
      <c r="AD413" t="str">
        <f>IF(AC413=0,AA413,IF(AC413=1,$AA$421,IF(AC413=2,$AA$422,IF(AC413=3,$AA$423,IF(AC413=4,$AA$424,"")))))</f>
        <v/>
      </c>
    </row>
    <row r="414" spans="27:32" ht="12" customHeight="1">
      <c r="AA414" s="33" t="str">
        <f>IF(E68="","BLANK",E68)</f>
        <v>BLANK</v>
      </c>
      <c r="AB414" s="51">
        <f>IF(AA414="BLANK",1,0)</f>
        <v>1</v>
      </c>
      <c r="AC414" s="51">
        <f>SUM(AB413:AB414)</f>
        <v>2</v>
      </c>
      <c r="AD414" t="str">
        <f>IF(AC414=0,AA414,IF(AC414=1,$AA$421,IF(AC414=2,$AA$422,IF(AC414=3,$AA$423,IF(AC414=4,$AA$424,"")))))</f>
        <v/>
      </c>
    </row>
    <row r="415" spans="27:32" ht="12" customHeight="1">
      <c r="AA415" s="33" t="str">
        <f>IF(E75="","BLANK",E75)</f>
        <v>BLANK</v>
      </c>
      <c r="AB415" s="51">
        <f t="shared" ref="AB415:AB420" si="17">IF(AA415="BLANK",1,0)</f>
        <v>1</v>
      </c>
      <c r="AC415" s="51">
        <f>SUM(AB413:AB415)</f>
        <v>3</v>
      </c>
      <c r="AD415" t="str">
        <f t="shared" ref="AD415:AD424" si="18">IF(AC415=0,AA415,IF(AC415=1,$AA$421,IF(AC415=2,$AA$422,IF(AC415=3,$AA$423,IF(AC415=4,$AA$424,"")))))</f>
        <v/>
      </c>
    </row>
    <row r="416" spans="27:32" ht="12" customHeight="1">
      <c r="AA416" s="33" t="str">
        <f>IF(E82="","BLANK",E82)</f>
        <v>BLANK</v>
      </c>
      <c r="AB416" s="51">
        <f t="shared" si="17"/>
        <v>1</v>
      </c>
      <c r="AC416" s="51">
        <f>SUM(AB413:AB416)</f>
        <v>4</v>
      </c>
      <c r="AD416" t="str">
        <f t="shared" si="18"/>
        <v/>
      </c>
    </row>
    <row r="417" spans="27:30" ht="12" customHeight="1">
      <c r="AA417" s="33" t="str">
        <f>IF(E89="","BLANK",E89)</f>
        <v>BLANK</v>
      </c>
      <c r="AB417" s="51">
        <f t="shared" si="17"/>
        <v>1</v>
      </c>
      <c r="AC417" s="51">
        <f>SUM(AB413:AB417)</f>
        <v>5</v>
      </c>
      <c r="AD417" t="str">
        <f t="shared" si="18"/>
        <v/>
      </c>
    </row>
    <row r="418" spans="27:30" ht="12" customHeight="1">
      <c r="AA418" s="33" t="str">
        <f>IF(E96="","BLANK",E96)</f>
        <v>BLANK</v>
      </c>
      <c r="AB418" s="51">
        <f t="shared" si="17"/>
        <v>1</v>
      </c>
      <c r="AC418" s="51">
        <f>SUM(AB413:AB418)</f>
        <v>6</v>
      </c>
      <c r="AD418" t="str">
        <f t="shared" si="18"/>
        <v/>
      </c>
    </row>
    <row r="419" spans="27:30" ht="12" customHeight="1">
      <c r="AA419" s="33" t="str">
        <f>IF(E103="","BLANK",E103)</f>
        <v>BLANK</v>
      </c>
      <c r="AB419" s="51">
        <f t="shared" si="17"/>
        <v>1</v>
      </c>
      <c r="AC419" s="51">
        <f>SUM(AB413:AB419)</f>
        <v>7</v>
      </c>
      <c r="AD419" t="str">
        <f t="shared" si="18"/>
        <v/>
      </c>
    </row>
    <row r="420" spans="27:30" ht="12" customHeight="1">
      <c r="AA420" s="33" t="str">
        <f>IF(E110="","BLANK",E110)</f>
        <v>BLANK</v>
      </c>
      <c r="AB420" s="51">
        <f t="shared" si="17"/>
        <v>1</v>
      </c>
      <c r="AC420" s="51">
        <f>SUM(AB413:AB420)</f>
        <v>8</v>
      </c>
      <c r="AD420" t="str">
        <f t="shared" si="18"/>
        <v/>
      </c>
    </row>
    <row r="421" spans="27:30" ht="12" customHeight="1">
      <c r="AA421" s="38" t="str">
        <f>IF(E191="","",E191)</f>
        <v/>
      </c>
      <c r="AB421" s="51">
        <v>1</v>
      </c>
      <c r="AC421" s="51">
        <f>SUM(AB413:AB421)</f>
        <v>9</v>
      </c>
      <c r="AD421" t="str">
        <f t="shared" si="18"/>
        <v/>
      </c>
    </row>
    <row r="422" spans="27:30" ht="12" customHeight="1">
      <c r="AA422" s="38" t="str">
        <f>IF(E196="","",E196)</f>
        <v/>
      </c>
      <c r="AB422" s="51">
        <v>1</v>
      </c>
      <c r="AC422" s="51">
        <f>SUM(AB413:AB422)</f>
        <v>10</v>
      </c>
      <c r="AD422" t="str">
        <f t="shared" si="18"/>
        <v/>
      </c>
    </row>
    <row r="423" spans="27:30" ht="12" customHeight="1">
      <c r="AA423" s="38" t="str">
        <f>IF(E201="","",E201)</f>
        <v/>
      </c>
      <c r="AB423" s="51">
        <v>1</v>
      </c>
      <c r="AC423" s="51">
        <f>SUM(AB413:AB423)</f>
        <v>11</v>
      </c>
      <c r="AD423" t="str">
        <f t="shared" si="18"/>
        <v/>
      </c>
    </row>
    <row r="424" spans="27:30" ht="12" customHeight="1">
      <c r="AA424" s="38" t="str">
        <f>IF(E206="","",E206)</f>
        <v/>
      </c>
      <c r="AB424" s="51">
        <v>1</v>
      </c>
      <c r="AC424" s="51">
        <f>SUM(AB413:AB424)</f>
        <v>12</v>
      </c>
      <c r="AD424" t="str">
        <f t="shared" si="18"/>
        <v/>
      </c>
    </row>
    <row r="426" spans="27:30" ht="12" customHeight="1">
      <c r="AA426" s="35">
        <f t="shared" ref="AA426:AA443" si="19">AI314</f>
        <v>0</v>
      </c>
      <c r="AB426" s="35">
        <f>AA426</f>
        <v>0</v>
      </c>
      <c r="AC426" s="35">
        <f>AB426</f>
        <v>0</v>
      </c>
    </row>
    <row r="427" spans="27:30" ht="12" customHeight="1">
      <c r="AA427" s="35">
        <f t="shared" si="19"/>
        <v>0</v>
      </c>
      <c r="AB427" s="35">
        <f>AA427</f>
        <v>0</v>
      </c>
      <c r="AC427" s="35">
        <f>AB427</f>
        <v>0</v>
      </c>
    </row>
    <row r="428" spans="27:30" ht="12" customHeight="1">
      <c r="AA428" s="35" t="str">
        <f t="shared" si="19"/>
        <v/>
      </c>
      <c r="AB428" s="35" t="str">
        <f>AA428</f>
        <v/>
      </c>
      <c r="AC428" s="35" t="str">
        <f>IF(AB428=0,"",AB428)</f>
        <v/>
      </c>
    </row>
    <row r="429" spans="27:30" ht="12" customHeight="1">
      <c r="AA429" s="321" t="str">
        <f t="shared" si="19"/>
        <v/>
      </c>
      <c r="AB429" s="35" t="str">
        <f>AA436</f>
        <v/>
      </c>
      <c r="AC429" s="35" t="str">
        <f t="shared" ref="AC429:AC443" si="20">IF(AB429=0,"",AB429)</f>
        <v/>
      </c>
    </row>
    <row r="430" spans="27:30" ht="12" customHeight="1">
      <c r="AA430" s="35" t="str">
        <f t="shared" si="19"/>
        <v/>
      </c>
      <c r="AB430" s="321" t="str">
        <f>AA429</f>
        <v/>
      </c>
      <c r="AC430" s="35" t="str">
        <f t="shared" si="20"/>
        <v/>
      </c>
    </row>
    <row r="431" spans="27:30" ht="12" customHeight="1">
      <c r="AA431" s="35" t="str">
        <f t="shared" si="19"/>
        <v/>
      </c>
      <c r="AB431" s="35" t="str">
        <f>AA437</f>
        <v/>
      </c>
      <c r="AC431" s="35" t="str">
        <f t="shared" si="20"/>
        <v/>
      </c>
    </row>
    <row r="432" spans="27:30" ht="12" customHeight="1">
      <c r="AA432" s="35" t="str">
        <f t="shared" si="19"/>
        <v/>
      </c>
      <c r="AB432" s="35" t="str">
        <f>AA430</f>
        <v/>
      </c>
      <c r="AC432" s="35" t="str">
        <f t="shared" si="20"/>
        <v/>
      </c>
    </row>
    <row r="433" spans="27:29" ht="12" customHeight="1">
      <c r="AA433" s="35" t="str">
        <f t="shared" si="19"/>
        <v/>
      </c>
      <c r="AB433" s="35" t="str">
        <f>AA438</f>
        <v/>
      </c>
      <c r="AC433" s="35" t="str">
        <f t="shared" si="20"/>
        <v/>
      </c>
    </row>
    <row r="434" spans="27:29" ht="12" customHeight="1">
      <c r="AA434" s="35" t="str">
        <f t="shared" si="19"/>
        <v/>
      </c>
      <c r="AB434" s="35" t="str">
        <f>AA431</f>
        <v/>
      </c>
      <c r="AC434" s="35" t="str">
        <f t="shared" si="20"/>
        <v/>
      </c>
    </row>
    <row r="435" spans="27:29" ht="12" customHeight="1">
      <c r="AA435" s="35" t="str">
        <f t="shared" si="19"/>
        <v/>
      </c>
      <c r="AB435" s="35" t="str">
        <f>AA439</f>
        <v/>
      </c>
      <c r="AC435" s="35" t="str">
        <f t="shared" si="20"/>
        <v/>
      </c>
    </row>
    <row r="436" spans="27:29" ht="12" customHeight="1">
      <c r="AA436" s="35" t="str">
        <f t="shared" si="19"/>
        <v/>
      </c>
      <c r="AB436" s="35" t="str">
        <f>AA432</f>
        <v/>
      </c>
      <c r="AC436" s="35" t="str">
        <f t="shared" si="20"/>
        <v/>
      </c>
    </row>
    <row r="437" spans="27:29" ht="12" customHeight="1">
      <c r="AA437" s="35" t="str">
        <f t="shared" si="19"/>
        <v/>
      </c>
      <c r="AB437" s="35" t="str">
        <f>AA440</f>
        <v/>
      </c>
      <c r="AC437" s="35" t="str">
        <f t="shared" si="20"/>
        <v/>
      </c>
    </row>
    <row r="438" spans="27:29" ht="12" customHeight="1">
      <c r="AA438" s="35" t="str">
        <f t="shared" si="19"/>
        <v/>
      </c>
      <c r="AB438" s="35" t="str">
        <f>AA433</f>
        <v/>
      </c>
      <c r="AC438" s="35" t="str">
        <f t="shared" si="20"/>
        <v/>
      </c>
    </row>
    <row r="439" spans="27:29" ht="12" customHeight="1">
      <c r="AA439" s="35" t="str">
        <f t="shared" si="19"/>
        <v/>
      </c>
      <c r="AB439" s="35" t="str">
        <f>AA441</f>
        <v/>
      </c>
      <c r="AC439" s="35" t="str">
        <f t="shared" si="20"/>
        <v/>
      </c>
    </row>
    <row r="440" spans="27:29" ht="12" customHeight="1">
      <c r="AA440" s="35" t="str">
        <f t="shared" si="19"/>
        <v/>
      </c>
      <c r="AB440" s="35" t="str">
        <f>AA434</f>
        <v/>
      </c>
      <c r="AC440" s="35" t="str">
        <f t="shared" si="20"/>
        <v/>
      </c>
    </row>
    <row r="441" spans="27:29" ht="12" customHeight="1">
      <c r="AA441" s="35" t="str">
        <f t="shared" si="19"/>
        <v/>
      </c>
      <c r="AB441" s="35" t="str">
        <f>AA442</f>
        <v/>
      </c>
      <c r="AC441" s="35" t="str">
        <f t="shared" si="20"/>
        <v/>
      </c>
    </row>
    <row r="442" spans="27:29" ht="12" customHeight="1">
      <c r="AA442" s="35" t="str">
        <f t="shared" si="19"/>
        <v/>
      </c>
      <c r="AB442" s="35" t="str">
        <f>AA435</f>
        <v/>
      </c>
      <c r="AC442" s="35" t="str">
        <f t="shared" si="20"/>
        <v/>
      </c>
    </row>
    <row r="443" spans="27:29" ht="12" customHeight="1">
      <c r="AA443" s="35" t="str">
        <f t="shared" si="19"/>
        <v/>
      </c>
      <c r="AB443" s="35" t="str">
        <f>AA443</f>
        <v/>
      </c>
      <c r="AC443" s="35" t="str">
        <f t="shared" si="20"/>
        <v/>
      </c>
    </row>
    <row r="446" spans="27:29" ht="12" customHeight="1">
      <c r="AA446" t="s">
        <v>272</v>
      </c>
      <c r="AB446" s="670"/>
    </row>
    <row r="447" spans="27:29" ht="12" customHeight="1">
      <c r="AA447" t="s">
        <v>273</v>
      </c>
      <c r="AB447" s="670"/>
    </row>
    <row r="452" spans="36:41" ht="12" customHeight="1">
      <c r="AJ452" s="670"/>
      <c r="AL452" s="1712" t="s">
        <v>274</v>
      </c>
      <c r="AM452" s="1713"/>
      <c r="AN452" s="1713"/>
      <c r="AO452" s="1714"/>
    </row>
    <row r="453" spans="36:41" ht="12" customHeight="1">
      <c r="AL453" s="297"/>
      <c r="AO453" s="1117"/>
    </row>
    <row r="454" spans="36:41" ht="12" customHeight="1">
      <c r="AL454" s="1118" t="s">
        <v>275</v>
      </c>
      <c r="AM454" s="392" t="s">
        <v>206</v>
      </c>
      <c r="AN454" s="392" t="s">
        <v>207</v>
      </c>
      <c r="AO454" s="1171"/>
    </row>
    <row r="455" spans="36:41" ht="12" customHeight="1">
      <c r="AL455" s="681" t="s">
        <v>276</v>
      </c>
      <c r="AM455" t="str">
        <f>IFERROR(MID('SDA Translation Table'!G160,5,LEN('SDA Translation Table'!G160)),"")</f>
        <v/>
      </c>
      <c r="AN455" t="str">
        <f>IFERROR(MID('SDA Translation Table'!G161,5,LEN('SDA Translation Table'!G161)),"")</f>
        <v/>
      </c>
      <c r="AO455" s="1117"/>
    </row>
    <row r="456" spans="36:41" ht="12" customHeight="1">
      <c r="AL456" s="681" t="s">
        <v>277</v>
      </c>
      <c r="AM456" t="str">
        <f>IFERROR(MID('SDA Translation Table'!G162,5,LEN('SDA Translation Table'!G162)),"")</f>
        <v/>
      </c>
      <c r="AN456" t="str">
        <f>IFERROR(MID('SDA Translation Table'!G163,5,LEN('SDA Translation Table'!G163)),"")</f>
        <v/>
      </c>
      <c r="AO456" s="1117"/>
    </row>
    <row r="457" spans="36:41" ht="12" customHeight="1">
      <c r="AL457" s="681" t="s">
        <v>278</v>
      </c>
      <c r="AM457" t="str">
        <f>IFERROR(MID('SDA Translation Table'!G164,5,LEN('SDA Translation Table'!G164)),"")</f>
        <v/>
      </c>
      <c r="AN457" t="str">
        <f>IFERROR(MID('SDA Translation Table'!G165,5,LEN('SDA Translation Table'!G165)),"")</f>
        <v/>
      </c>
      <c r="AO457" s="1117"/>
    </row>
    <row r="458" spans="36:41" ht="12" customHeight="1">
      <c r="AL458" s="681" t="s">
        <v>279</v>
      </c>
      <c r="AM458" t="str">
        <f>IFERROR(MID('SDA Translation Table'!G166,5,LEN('SDA Translation Table'!G166)),"")</f>
        <v/>
      </c>
      <c r="AN458" t="str">
        <f>IFERROR(MID('SDA Translation Table'!G167,5,LEN('SDA Translation Table'!G167)),"")</f>
        <v/>
      </c>
      <c r="AO458" s="1117"/>
    </row>
    <row r="459" spans="36:41" ht="12" customHeight="1">
      <c r="AL459" s="681" t="s">
        <v>280</v>
      </c>
      <c r="AM459" t="str">
        <f>IFERROR(MID('SDA Translation Table'!G168,5,LEN('SDA Translation Table'!G168)),"")</f>
        <v/>
      </c>
      <c r="AN459" t="str">
        <f>IFERROR(MID('SDA Translation Table'!G169,5,LEN('SDA Translation Table'!G169)),"")</f>
        <v/>
      </c>
      <c r="AO459" s="1117"/>
    </row>
    <row r="460" spans="36:41" ht="12" customHeight="1">
      <c r="AL460" s="681" t="s">
        <v>281</v>
      </c>
      <c r="AM460" t="str">
        <f>IFERROR(MID('SDA Translation Table'!G170,5,LEN('SDA Translation Table'!G170)),"")</f>
        <v/>
      </c>
      <c r="AN460" t="str">
        <f>IFERROR(MID('SDA Translation Table'!G171,5,LEN('SDA Translation Table'!G171)),"")</f>
        <v/>
      </c>
      <c r="AO460" s="1117"/>
    </row>
    <row r="461" spans="36:41" ht="12" customHeight="1">
      <c r="AL461" s="681" t="s">
        <v>282</v>
      </c>
      <c r="AM461" t="str">
        <f>IFERROR(MID('SDA Translation Table'!G172,5,LEN('SDA Translation Table'!G172)),"")</f>
        <v/>
      </c>
      <c r="AN461" t="str">
        <f>IFERROR(MID('SDA Translation Table'!G173,5,LEN('SDA Translation Table'!G173)),"")</f>
        <v/>
      </c>
      <c r="AO461" s="1117"/>
    </row>
    <row r="462" spans="36:41" ht="12" customHeight="1">
      <c r="AL462" s="681" t="s">
        <v>283</v>
      </c>
      <c r="AM462" t="str">
        <f>IFERROR(MID('SDA Translation Table'!G174,5,LEN('SDA Translation Table'!G174)),"")</f>
        <v/>
      </c>
      <c r="AN462" t="str">
        <f>IFERROR(MID('SDA Translation Table'!G175,5,LEN('SDA Translation Table'!G175)),"")</f>
        <v/>
      </c>
      <c r="AO462" s="1117"/>
    </row>
    <row r="463" spans="36:41" ht="12" customHeight="1">
      <c r="AL463" s="681" t="s">
        <v>284</v>
      </c>
      <c r="AM463" t="str">
        <f>IFERROR(MID('SDA Translation Table'!G305,5,LEN('SDA Translation Table'!G305)),"")</f>
        <v/>
      </c>
      <c r="AN463" t="str">
        <f>IFERROR(MID('SDA Translation Table'!G306,5,LEN('SDA Translation Table'!G306)),"")</f>
        <v/>
      </c>
      <c r="AO463" s="1117"/>
    </row>
    <row r="464" spans="36:41" ht="12" customHeight="1">
      <c r="AL464" s="681" t="s">
        <v>285</v>
      </c>
      <c r="AM464" t="str">
        <f>IFERROR(MID('SDA Translation Table'!G307,5,LEN('SDA Translation Table'!G307)),"")</f>
        <v/>
      </c>
      <c r="AN464" t="str">
        <f>IFERROR(MID('SDA Translation Table'!G308,5,LEN('SDA Translation Table'!G308)),"")</f>
        <v/>
      </c>
      <c r="AO464" s="1117"/>
    </row>
    <row r="465" spans="38:41" ht="12" customHeight="1">
      <c r="AL465" s="681" t="s">
        <v>286</v>
      </c>
      <c r="AM465" t="str">
        <f>IFERROR(MID('SDA Translation Table'!G309,5,LEN('SDA Translation Table'!G309)),"")</f>
        <v/>
      </c>
      <c r="AN465" t="str">
        <f>IFERROR(MID('SDA Translation Table'!G310,5,LEN('SDA Translation Table'!G310)),"")</f>
        <v/>
      </c>
      <c r="AO465" s="1117"/>
    </row>
    <row r="466" spans="38:41" ht="12" customHeight="1">
      <c r="AL466" s="681" t="s">
        <v>287</v>
      </c>
      <c r="AM466" t="str">
        <f>IFERROR(MID('SDA Translation Table'!G311,5,LEN('SDA Translation Table'!G311)),"")</f>
        <v/>
      </c>
      <c r="AN466" t="str">
        <f>IFERROR(MID('SDA Translation Table'!G312,5,LEN('SDA Translation Table'!G312)),"")</f>
        <v/>
      </c>
      <c r="AO466" s="1117"/>
    </row>
    <row r="467" spans="38:41" ht="12" customHeight="1">
      <c r="AL467" s="681" t="s">
        <v>288</v>
      </c>
      <c r="AM467" t="str">
        <f>IFERROR(MID('SDA Translation Table'!G313,5,LEN('SDA Translation Table'!G313)),"")</f>
        <v/>
      </c>
      <c r="AN467" t="str">
        <f>IFERROR(MID('SDA Translation Table'!G314,5,LEN('SDA Translation Table'!G314)),"")</f>
        <v/>
      </c>
      <c r="AO467" s="1117"/>
    </row>
    <row r="468" spans="38:41" ht="12" customHeight="1">
      <c r="AL468" s="681" t="s">
        <v>289</v>
      </c>
      <c r="AM468" t="str">
        <f>IFERROR(MID('SDA Translation Table'!G315,5,LEN('SDA Translation Table'!G315)),"")</f>
        <v/>
      </c>
      <c r="AN468" t="str">
        <f>IFERROR(MID('SDA Translation Table'!G316,5,LEN('SDA Translation Table'!G316)),"")</f>
        <v/>
      </c>
      <c r="AO468" s="1117"/>
    </row>
    <row r="469" spans="38:41" ht="12" customHeight="1">
      <c r="AL469" s="681" t="s">
        <v>290</v>
      </c>
      <c r="AM469" t="str">
        <f>IFERROR(MID('SDA Translation Table'!G317,5,LEN('SDA Translation Table'!G317)),"")</f>
        <v/>
      </c>
      <c r="AN469" t="str">
        <f>IFERROR(MID('SDA Translation Table'!G318,5,LEN('SDA Translation Table'!G318)),"")</f>
        <v/>
      </c>
      <c r="AO469" s="1117"/>
    </row>
    <row r="470" spans="38:41" ht="12" customHeight="1">
      <c r="AL470" s="681" t="s">
        <v>291</v>
      </c>
      <c r="AM470" t="str">
        <f>IFERROR(MID('SDA Translation Table'!G319,5,LEN('SDA Translation Table'!G319)),"")</f>
        <v/>
      </c>
      <c r="AN470" t="str">
        <f>IFERROR(MID('SDA Translation Table'!G320,5,LEN('SDA Translation Table'!G320)),"")</f>
        <v/>
      </c>
      <c r="AO470" s="1117"/>
    </row>
    <row r="471" spans="38:41" ht="12" customHeight="1">
      <c r="AL471" s="297"/>
      <c r="AO471" s="1117"/>
    </row>
    <row r="472" spans="38:41" ht="12" customHeight="1">
      <c r="AL472" s="297"/>
      <c r="AO472" s="1117"/>
    </row>
    <row r="473" spans="38:41" ht="12" customHeight="1">
      <c r="AL473" s="297" t="s">
        <v>292</v>
      </c>
      <c r="AM473" t="e" cm="1" vm="1">
        <f t="array" ref="AM473">_xlfn._xlws.FILTER(AM455:AM470,AM455:AM470&lt;&gt;"")</f>
        <v>#VALUE!</v>
      </c>
      <c r="AN473" t="e" cm="1" vm="1">
        <f t="array" ref="AN473">_xlfn._xlws.FILTER(AN455:AN470,AN455:AN470&lt;&gt;"")</f>
        <v>#VALUE!</v>
      </c>
      <c r="AO473" s="1117"/>
    </row>
    <row r="474" spans="38:41" ht="12" customHeight="1">
      <c r="AL474" s="297" t="s">
        <v>293</v>
      </c>
      <c r="AO474" s="1117"/>
    </row>
    <row r="475" spans="38:41" ht="12" customHeight="1">
      <c r="AL475" s="297" t="s">
        <v>294</v>
      </c>
      <c r="AO475" s="1117"/>
    </row>
    <row r="476" spans="38:41" ht="12" customHeight="1">
      <c r="AL476" s="297" t="s">
        <v>295</v>
      </c>
      <c r="AO476" s="1117"/>
    </row>
    <row r="477" spans="38:41" ht="12" customHeight="1">
      <c r="AL477" s="297" t="s">
        <v>296</v>
      </c>
      <c r="AO477" s="1117"/>
    </row>
    <row r="478" spans="38:41" ht="12" customHeight="1">
      <c r="AL478" s="297" t="s">
        <v>297</v>
      </c>
      <c r="AO478" s="1117"/>
    </row>
    <row r="479" spans="38:41" ht="12" customHeight="1">
      <c r="AL479" s="297" t="s">
        <v>298</v>
      </c>
      <c r="AO479" s="1117"/>
    </row>
    <row r="480" spans="38:41" ht="12" customHeight="1">
      <c r="AL480" s="297" t="s">
        <v>299</v>
      </c>
      <c r="AO480" s="1117"/>
    </row>
    <row r="481" spans="38:41" ht="12" customHeight="1">
      <c r="AL481" s="299"/>
      <c r="AM481" s="151"/>
      <c r="AN481" s="151"/>
      <c r="AO481" s="298"/>
    </row>
    <row r="854" spans="55:64" ht="12" customHeight="1">
      <c r="BI854" s="124"/>
      <c r="BJ854" s="22"/>
      <c r="BK854" s="22"/>
      <c r="BL854" s="22"/>
    </row>
    <row r="855" spans="55:64" ht="12" customHeight="1">
      <c r="BI855" s="22"/>
      <c r="BJ855" s="1172"/>
      <c r="BK855" s="22"/>
      <c r="BL855" s="22"/>
    </row>
    <row r="856" spans="55:64" ht="12" customHeight="1">
      <c r="BJ856" s="1173"/>
    </row>
    <row r="857" spans="55:64" ht="12" customHeight="1">
      <c r="BJ857" s="160"/>
    </row>
    <row r="862" spans="55:64" ht="12" customHeight="1">
      <c r="BC862" s="98"/>
    </row>
    <row r="865" spans="55:55" ht="12" customHeight="1">
      <c r="BC865" s="98"/>
    </row>
    <row r="868" spans="55:55" ht="12" customHeight="1">
      <c r="BC868" s="98"/>
    </row>
    <row r="871" spans="55:55" ht="12" customHeight="1">
      <c r="BC871" s="98"/>
    </row>
    <row r="874" spans="55:55" ht="12" customHeight="1">
      <c r="BC874" s="98"/>
    </row>
    <row r="877" spans="55:55" ht="12" customHeight="1">
      <c r="BC877" s="98"/>
    </row>
  </sheetData>
  <sheetProtection algorithmName="SHA-512" hashValue="d6/+p8oiHL1WiQwUX14FlcWmjPWxGDey/b9piMElmCd4BFaPyaC4hoiAJFkURrTO2n6bTp3/6fORF6HgA7mlKQ==" saltValue="Q9dYr1o6oRXfoJhhhV+spQ==" spinCount="100000" sheet="1" objects="1" scenarios="1"/>
  <mergeCells count="1274">
    <mergeCell ref="AA383:AA384"/>
    <mergeCell ref="A284:D284"/>
    <mergeCell ref="E284:F284"/>
    <mergeCell ref="G284:H284"/>
    <mergeCell ref="I284:P284"/>
    <mergeCell ref="Q284:W284"/>
    <mergeCell ref="J229:L229"/>
    <mergeCell ref="N205:P205"/>
    <mergeCell ref="G223:H223"/>
    <mergeCell ref="Q206:W206"/>
    <mergeCell ref="G206:H206"/>
    <mergeCell ref="Q224:W224"/>
    <mergeCell ref="G249:H249"/>
    <mergeCell ref="A227:D227"/>
    <mergeCell ref="J228:L228"/>
    <mergeCell ref="A272:D272"/>
    <mergeCell ref="E272:F272"/>
    <mergeCell ref="E217:F217"/>
    <mergeCell ref="G217:H217"/>
    <mergeCell ref="Q217:W217"/>
    <mergeCell ref="J224:L224"/>
    <mergeCell ref="A216:D216"/>
    <mergeCell ref="E216:F216"/>
    <mergeCell ref="A225:D225"/>
    <mergeCell ref="Q223:W223"/>
    <mergeCell ref="Q209:W209"/>
    <mergeCell ref="A218:D218"/>
    <mergeCell ref="J218:L218"/>
    <mergeCell ref="N216:P216"/>
    <mergeCell ref="J216:L216"/>
    <mergeCell ref="J223:L223"/>
    <mergeCell ref="Q208:W208"/>
    <mergeCell ref="AL452:AO452"/>
    <mergeCell ref="AA342:AB342"/>
    <mergeCell ref="A282:D282"/>
    <mergeCell ref="E282:F282"/>
    <mergeCell ref="G282:H282"/>
    <mergeCell ref="I282:P282"/>
    <mergeCell ref="Q282:W282"/>
    <mergeCell ref="I281:P281"/>
    <mergeCell ref="A285:D285"/>
    <mergeCell ref="E285:F285"/>
    <mergeCell ref="G285:H285"/>
    <mergeCell ref="I285:P285"/>
    <mergeCell ref="Q285:W285"/>
    <mergeCell ref="A286:D286"/>
    <mergeCell ref="E286:F286"/>
    <mergeCell ref="G286:H286"/>
    <mergeCell ref="E198:F198"/>
    <mergeCell ref="G198:H198"/>
    <mergeCell ref="G219:H219"/>
    <mergeCell ref="I213:L213"/>
    <mergeCell ref="E224:F224"/>
    <mergeCell ref="A202:D202"/>
    <mergeCell ref="G201:H201"/>
    <mergeCell ref="I286:P286"/>
    <mergeCell ref="Q286:W286"/>
    <mergeCell ref="A281:D281"/>
    <mergeCell ref="E281:F281"/>
    <mergeCell ref="G281:H281"/>
    <mergeCell ref="Q281:W281"/>
    <mergeCell ref="D293:Q294"/>
    <mergeCell ref="O298:U298"/>
    <mergeCell ref="A299:J301"/>
    <mergeCell ref="X36:AL36"/>
    <mergeCell ref="A278:W278"/>
    <mergeCell ref="A279:D279"/>
    <mergeCell ref="E279:H279"/>
    <mergeCell ref="I279:P279"/>
    <mergeCell ref="Q279:W279"/>
    <mergeCell ref="A280:D280"/>
    <mergeCell ref="A283:D283"/>
    <mergeCell ref="E280:F280"/>
    <mergeCell ref="G280:H280"/>
    <mergeCell ref="I280:P280"/>
    <mergeCell ref="Q280:W280"/>
    <mergeCell ref="E283:F283"/>
    <mergeCell ref="G283:H283"/>
    <mergeCell ref="I283:P283"/>
    <mergeCell ref="Q283:W283"/>
    <mergeCell ref="E188:F188"/>
    <mergeCell ref="A190:D190"/>
    <mergeCell ref="E190:F190"/>
    <mergeCell ref="G190:H190"/>
    <mergeCell ref="A189:D189"/>
    <mergeCell ref="E189:F189"/>
    <mergeCell ref="G189:H189"/>
    <mergeCell ref="A193:D193"/>
    <mergeCell ref="E223:F223"/>
    <mergeCell ref="E221:F221"/>
    <mergeCell ref="A205:D205"/>
    <mergeCell ref="E205:F205"/>
    <mergeCell ref="G205:H205"/>
    <mergeCell ref="Q205:W205"/>
    <mergeCell ref="A212:W212"/>
    <mergeCell ref="Q219:W219"/>
    <mergeCell ref="E204:F204"/>
    <mergeCell ref="G204:H204"/>
    <mergeCell ref="J204:L204"/>
    <mergeCell ref="J206:K206"/>
    <mergeCell ref="A209:D209"/>
    <mergeCell ref="E209:F209"/>
    <mergeCell ref="G209:H209"/>
    <mergeCell ref="J209:L209"/>
    <mergeCell ref="M209:P209"/>
    <mergeCell ref="E206:F206"/>
    <mergeCell ref="N200:P200"/>
    <mergeCell ref="E197:F197"/>
    <mergeCell ref="A206:D206"/>
    <mergeCell ref="G199:H199"/>
    <mergeCell ref="J199:L199"/>
    <mergeCell ref="A196:D196"/>
    <mergeCell ref="M204:P204"/>
    <mergeCell ref="N247:P247"/>
    <mergeCell ref="N248:P248"/>
    <mergeCell ref="N253:P253"/>
    <mergeCell ref="Q245:W245"/>
    <mergeCell ref="Q247:W247"/>
    <mergeCell ref="Q253:W253"/>
    <mergeCell ref="J255:L255"/>
    <mergeCell ref="E244:F244"/>
    <mergeCell ref="G246:H246"/>
    <mergeCell ref="M252:P252"/>
    <mergeCell ref="M246:P246"/>
    <mergeCell ref="J247:L247"/>
    <mergeCell ref="G251:H251"/>
    <mergeCell ref="M213:P213"/>
    <mergeCell ref="Q230:W230"/>
    <mergeCell ref="A231:D231"/>
    <mergeCell ref="J230:L230"/>
    <mergeCell ref="G227:H227"/>
    <mergeCell ref="A226:D226"/>
    <mergeCell ref="Q226:W226"/>
    <mergeCell ref="N224:P224"/>
    <mergeCell ref="G221:H221"/>
    <mergeCell ref="N217:P217"/>
    <mergeCell ref="J222:L222"/>
    <mergeCell ref="M227:P227"/>
    <mergeCell ref="J227:L227"/>
    <mergeCell ref="J225:L225"/>
    <mergeCell ref="A222:D222"/>
    <mergeCell ref="E222:F222"/>
    <mergeCell ref="N249:P249"/>
    <mergeCell ref="G248:H248"/>
    <mergeCell ref="A228:D228"/>
    <mergeCell ref="Q204:W204"/>
    <mergeCell ref="A208:D208"/>
    <mergeCell ref="E208:F208"/>
    <mergeCell ref="G208:H208"/>
    <mergeCell ref="J208:K208"/>
    <mergeCell ref="O203:P203"/>
    <mergeCell ref="O208:P208"/>
    <mergeCell ref="Q197:W197"/>
    <mergeCell ref="Q202:W202"/>
    <mergeCell ref="Q207:W207"/>
    <mergeCell ref="A207:D207"/>
    <mergeCell ref="A204:D204"/>
    <mergeCell ref="A200:D200"/>
    <mergeCell ref="E200:F200"/>
    <mergeCell ref="A197:D197"/>
    <mergeCell ref="A203:D203"/>
    <mergeCell ref="E203:F203"/>
    <mergeCell ref="G203:H203"/>
    <mergeCell ref="Q203:W203"/>
    <mergeCell ref="Q199:W199"/>
    <mergeCell ref="Q200:W200"/>
    <mergeCell ref="A199:D199"/>
    <mergeCell ref="E199:F199"/>
    <mergeCell ref="A201:D201"/>
    <mergeCell ref="E201:F201"/>
    <mergeCell ref="Q201:W201"/>
    <mergeCell ref="O197:P197"/>
    <mergeCell ref="L201:P201"/>
    <mergeCell ref="O202:P202"/>
    <mergeCell ref="E202:F202"/>
    <mergeCell ref="J201:K201"/>
    <mergeCell ref="J203:K203"/>
    <mergeCell ref="J194:L194"/>
    <mergeCell ref="A191:D191"/>
    <mergeCell ref="A198:D198"/>
    <mergeCell ref="Q198:W198"/>
    <mergeCell ref="M199:P199"/>
    <mergeCell ref="G200:H200"/>
    <mergeCell ref="Q136:W136"/>
    <mergeCell ref="Q133:W133"/>
    <mergeCell ref="E137:F137"/>
    <mergeCell ref="Q138:W138"/>
    <mergeCell ref="Q139:W139"/>
    <mergeCell ref="I140:P140"/>
    <mergeCell ref="Q140:W140"/>
    <mergeCell ref="G140:H140"/>
    <mergeCell ref="Q143:W143"/>
    <mergeCell ref="I154:P154"/>
    <mergeCell ref="Q141:W141"/>
    <mergeCell ref="E142:F142"/>
    <mergeCell ref="Q142:W142"/>
    <mergeCell ref="A146:D146"/>
    <mergeCell ref="A144:D144"/>
    <mergeCell ref="A151:D151"/>
    <mergeCell ref="Q148:W148"/>
    <mergeCell ref="Q154:W154"/>
    <mergeCell ref="Q196:W196"/>
    <mergeCell ref="J196:K196"/>
    <mergeCell ref="J198:K198"/>
    <mergeCell ref="O198:P198"/>
    <mergeCell ref="E196:F196"/>
    <mergeCell ref="L196:P196"/>
    <mergeCell ref="E140:F140"/>
    <mergeCell ref="A139:D139"/>
    <mergeCell ref="E151:F151"/>
    <mergeCell ref="E193:F193"/>
    <mergeCell ref="G193:H193"/>
    <mergeCell ref="A192:D192"/>
    <mergeCell ref="E192:F192"/>
    <mergeCell ref="J192:K192"/>
    <mergeCell ref="Q193:W193"/>
    <mergeCell ref="N190:P190"/>
    <mergeCell ref="J191:K191"/>
    <mergeCell ref="A186:W186"/>
    <mergeCell ref="G146:H146"/>
    <mergeCell ref="A145:D145"/>
    <mergeCell ref="I147:P147"/>
    <mergeCell ref="E146:F146"/>
    <mergeCell ref="E165:F165"/>
    <mergeCell ref="E155:F155"/>
    <mergeCell ref="A158:D158"/>
    <mergeCell ref="I155:P155"/>
    <mergeCell ref="A154:D154"/>
    <mergeCell ref="E154:F154"/>
    <mergeCell ref="A147:D147"/>
    <mergeCell ref="E147:F147"/>
    <mergeCell ref="A174:D174"/>
    <mergeCell ref="E174:F174"/>
    <mergeCell ref="G175:H175"/>
    <mergeCell ref="E175:F175"/>
    <mergeCell ref="A172:D172"/>
    <mergeCell ref="A161:D161"/>
    <mergeCell ref="A169:D169"/>
    <mergeCell ref="A170:D170"/>
    <mergeCell ref="A166:D166"/>
    <mergeCell ref="A175:D175"/>
    <mergeCell ref="A164:D164"/>
    <mergeCell ref="I156:P156"/>
    <mergeCell ref="A155:D155"/>
    <mergeCell ref="G154:H154"/>
    <mergeCell ref="I167:P167"/>
    <mergeCell ref="A165:D165"/>
    <mergeCell ref="I152:P152"/>
    <mergeCell ref="A153:D153"/>
    <mergeCell ref="A156:D156"/>
    <mergeCell ref="A168:D168"/>
    <mergeCell ref="E168:F168"/>
    <mergeCell ref="G168:H168"/>
    <mergeCell ref="I165:P165"/>
    <mergeCell ref="E166:F166"/>
    <mergeCell ref="G166:H166"/>
    <mergeCell ref="G159:H159"/>
    <mergeCell ref="E158:F158"/>
    <mergeCell ref="I158:P158"/>
    <mergeCell ref="A157:D157"/>
    <mergeCell ref="G155:H155"/>
    <mergeCell ref="E152:F152"/>
    <mergeCell ref="A152:D152"/>
    <mergeCell ref="A173:D173"/>
    <mergeCell ref="E173:F173"/>
    <mergeCell ref="G173:H173"/>
    <mergeCell ref="I173:P173"/>
    <mergeCell ref="E161:F161"/>
    <mergeCell ref="E157:F157"/>
    <mergeCell ref="I153:P153"/>
    <mergeCell ref="G152:H152"/>
    <mergeCell ref="Q173:W173"/>
    <mergeCell ref="Q167:W167"/>
    <mergeCell ref="I142:P142"/>
    <mergeCell ref="E143:F143"/>
    <mergeCell ref="E141:F141"/>
    <mergeCell ref="Q150:W150"/>
    <mergeCell ref="I141:P141"/>
    <mergeCell ref="G143:H143"/>
    <mergeCell ref="A142:D142"/>
    <mergeCell ref="A143:D143"/>
    <mergeCell ref="A141:D141"/>
    <mergeCell ref="I143:P143"/>
    <mergeCell ref="G144:H144"/>
    <mergeCell ref="I144:P144"/>
    <mergeCell ref="E145:F145"/>
    <mergeCell ref="E149:F149"/>
    <mergeCell ref="G149:H149"/>
    <mergeCell ref="I149:P149"/>
    <mergeCell ref="E153:F153"/>
    <mergeCell ref="Q155:W155"/>
    <mergeCell ref="G170:H170"/>
    <mergeCell ref="Q168:W168"/>
    <mergeCell ref="I169:P169"/>
    <mergeCell ref="Q169:W169"/>
    <mergeCell ref="E169:F169"/>
    <mergeCell ref="A171:D171"/>
    <mergeCell ref="Q153:W153"/>
    <mergeCell ref="G157:H157"/>
    <mergeCell ref="I157:P157"/>
    <mergeCell ref="E156:F156"/>
    <mergeCell ref="G156:H156"/>
    <mergeCell ref="G165:H165"/>
    <mergeCell ref="Q157:W157"/>
    <mergeCell ref="I159:P159"/>
    <mergeCell ref="Q158:W158"/>
    <mergeCell ref="E159:F159"/>
    <mergeCell ref="Q137:W137"/>
    <mergeCell ref="I137:P137"/>
    <mergeCell ref="A133:D133"/>
    <mergeCell ref="A136:D136"/>
    <mergeCell ref="E136:F136"/>
    <mergeCell ref="G136:H136"/>
    <mergeCell ref="I136:P136"/>
    <mergeCell ref="Q144:W144"/>
    <mergeCell ref="E150:F150"/>
    <mergeCell ref="I148:P148"/>
    <mergeCell ref="I151:P151"/>
    <mergeCell ref="Q149:W149"/>
    <mergeCell ref="I145:P145"/>
    <mergeCell ref="I146:P146"/>
    <mergeCell ref="G147:H147"/>
    <mergeCell ref="E138:F138"/>
    <mergeCell ref="Q146:W146"/>
    <mergeCell ref="E144:F144"/>
    <mergeCell ref="Q151:W151"/>
    <mergeCell ref="E139:F139"/>
    <mergeCell ref="G139:H139"/>
    <mergeCell ref="I139:P139"/>
    <mergeCell ref="G138:H138"/>
    <mergeCell ref="I138:P138"/>
    <mergeCell ref="A140:D140"/>
    <mergeCell ref="Q147:W147"/>
    <mergeCell ref="Q145:W145"/>
    <mergeCell ref="G141:H141"/>
    <mergeCell ref="G151:H151"/>
    <mergeCell ref="E148:F148"/>
    <mergeCell ref="G148:H148"/>
    <mergeCell ref="G142:H142"/>
    <mergeCell ref="I127:P127"/>
    <mergeCell ref="G133:H133"/>
    <mergeCell ref="A132:D132"/>
    <mergeCell ref="E132:F132"/>
    <mergeCell ref="G132:H132"/>
    <mergeCell ref="I132:P132"/>
    <mergeCell ref="Q132:W132"/>
    <mergeCell ref="A134:D134"/>
    <mergeCell ref="E134:F134"/>
    <mergeCell ref="G134:H134"/>
    <mergeCell ref="I134:P134"/>
    <mergeCell ref="I133:P133"/>
    <mergeCell ref="E133:F133"/>
    <mergeCell ref="E135:F135"/>
    <mergeCell ref="G135:H135"/>
    <mergeCell ref="I135:P135"/>
    <mergeCell ref="Q135:W135"/>
    <mergeCell ref="E128:F128"/>
    <mergeCell ref="A129:D129"/>
    <mergeCell ref="Q129:W129"/>
    <mergeCell ref="A135:D135"/>
    <mergeCell ref="A127:D127"/>
    <mergeCell ref="A128:D128"/>
    <mergeCell ref="E131:F131"/>
    <mergeCell ref="Q134:W134"/>
    <mergeCell ref="Q128:W128"/>
    <mergeCell ref="A138:D138"/>
    <mergeCell ref="A149:D149"/>
    <mergeCell ref="Q124:W124"/>
    <mergeCell ref="A124:D124"/>
    <mergeCell ref="E124:F124"/>
    <mergeCell ref="G124:H124"/>
    <mergeCell ref="A123:D123"/>
    <mergeCell ref="E123:F123"/>
    <mergeCell ref="G123:H123"/>
    <mergeCell ref="I123:P123"/>
    <mergeCell ref="Q125:W125"/>
    <mergeCell ref="A126:D126"/>
    <mergeCell ref="E126:F126"/>
    <mergeCell ref="G126:H126"/>
    <mergeCell ref="Q126:W126"/>
    <mergeCell ref="A125:D125"/>
    <mergeCell ref="G125:H125"/>
    <mergeCell ref="I125:P125"/>
    <mergeCell ref="G131:H131"/>
    <mergeCell ref="I131:P131"/>
    <mergeCell ref="Q131:W131"/>
    <mergeCell ref="E129:F129"/>
    <mergeCell ref="I126:P126"/>
    <mergeCell ref="I128:P128"/>
    <mergeCell ref="Q130:W130"/>
    <mergeCell ref="I129:P129"/>
    <mergeCell ref="G128:H128"/>
    <mergeCell ref="Q127:W127"/>
    <mergeCell ref="E130:F130"/>
    <mergeCell ref="G130:H130"/>
    <mergeCell ref="I130:P130"/>
    <mergeCell ref="A131:D131"/>
    <mergeCell ref="E127:F127"/>
    <mergeCell ref="G127:H127"/>
    <mergeCell ref="Q122:W122"/>
    <mergeCell ref="G122:H122"/>
    <mergeCell ref="I119:P119"/>
    <mergeCell ref="Q123:W123"/>
    <mergeCell ref="G120:H120"/>
    <mergeCell ref="E119:H119"/>
    <mergeCell ref="E121:F121"/>
    <mergeCell ref="I120:P120"/>
    <mergeCell ref="A121:D121"/>
    <mergeCell ref="G113:H113"/>
    <mergeCell ref="I113:P113"/>
    <mergeCell ref="I122:P122"/>
    <mergeCell ref="I121:P121"/>
    <mergeCell ref="G115:H115"/>
    <mergeCell ref="A119:D119"/>
    <mergeCell ref="A113:D113"/>
    <mergeCell ref="E113:F113"/>
    <mergeCell ref="E120:F120"/>
    <mergeCell ref="Q113:W113"/>
    <mergeCell ref="Q114:W114"/>
    <mergeCell ref="A115:D115"/>
    <mergeCell ref="E115:F115"/>
    <mergeCell ref="I115:P115"/>
    <mergeCell ref="Q115:W115"/>
    <mergeCell ref="A120:D120"/>
    <mergeCell ref="Q120:W120"/>
    <mergeCell ref="Q121:W121"/>
    <mergeCell ref="E122:F122"/>
    <mergeCell ref="A114:D114"/>
    <mergeCell ref="E114:F114"/>
    <mergeCell ref="G114:H114"/>
    <mergeCell ref="I114:P114"/>
    <mergeCell ref="E112:F112"/>
    <mergeCell ref="G112:H112"/>
    <mergeCell ref="I112:P112"/>
    <mergeCell ref="Q112:W112"/>
    <mergeCell ref="A109:D109"/>
    <mergeCell ref="E109:F109"/>
    <mergeCell ref="G109:H109"/>
    <mergeCell ref="I109:P109"/>
    <mergeCell ref="Q109:W109"/>
    <mergeCell ref="A106:D106"/>
    <mergeCell ref="E106:F106"/>
    <mergeCell ref="G106:H106"/>
    <mergeCell ref="I106:P106"/>
    <mergeCell ref="Q106:W106"/>
    <mergeCell ref="Q111:W111"/>
    <mergeCell ref="A108:D108"/>
    <mergeCell ref="E108:F108"/>
    <mergeCell ref="G108:H108"/>
    <mergeCell ref="I108:P108"/>
    <mergeCell ref="Q108:W108"/>
    <mergeCell ref="A111:D111"/>
    <mergeCell ref="E111:F111"/>
    <mergeCell ref="G111:H111"/>
    <mergeCell ref="I111:P111"/>
    <mergeCell ref="A112:D112"/>
    <mergeCell ref="A105:D105"/>
    <mergeCell ref="E105:F105"/>
    <mergeCell ref="G105:H105"/>
    <mergeCell ref="I105:P105"/>
    <mergeCell ref="Q105:W105"/>
    <mergeCell ref="A110:D110"/>
    <mergeCell ref="E110:F110"/>
    <mergeCell ref="G110:H110"/>
    <mergeCell ref="I110:P110"/>
    <mergeCell ref="Q110:W110"/>
    <mergeCell ref="A107:D107"/>
    <mergeCell ref="E107:F107"/>
    <mergeCell ref="G107:H107"/>
    <mergeCell ref="I107:P107"/>
    <mergeCell ref="Q107:W107"/>
    <mergeCell ref="A102:D102"/>
    <mergeCell ref="E102:F102"/>
    <mergeCell ref="G102:H102"/>
    <mergeCell ref="I102:P102"/>
    <mergeCell ref="Q102:W102"/>
    <mergeCell ref="A104:D104"/>
    <mergeCell ref="E104:F104"/>
    <mergeCell ref="G104:H104"/>
    <mergeCell ref="I104:P104"/>
    <mergeCell ref="Q104:W104"/>
    <mergeCell ref="G103:H103"/>
    <mergeCell ref="I103:P103"/>
    <mergeCell ref="Q103:W103"/>
    <mergeCell ref="A103:D103"/>
    <mergeCell ref="E103:F103"/>
    <mergeCell ref="A101:D101"/>
    <mergeCell ref="E101:F101"/>
    <mergeCell ref="G101:H101"/>
    <mergeCell ref="I101:P101"/>
    <mergeCell ref="Q101:W101"/>
    <mergeCell ref="A98:D98"/>
    <mergeCell ref="E98:F98"/>
    <mergeCell ref="G98:H98"/>
    <mergeCell ref="I98:P98"/>
    <mergeCell ref="Q98:W98"/>
    <mergeCell ref="I95:P95"/>
    <mergeCell ref="Q95:W95"/>
    <mergeCell ref="A100:D100"/>
    <mergeCell ref="E100:F100"/>
    <mergeCell ref="G100:H100"/>
    <mergeCell ref="I100:P100"/>
    <mergeCell ref="Q100:W100"/>
    <mergeCell ref="A97:D97"/>
    <mergeCell ref="E97:F97"/>
    <mergeCell ref="G97:H97"/>
    <mergeCell ref="I97:P97"/>
    <mergeCell ref="Q97:W97"/>
    <mergeCell ref="E99:F99"/>
    <mergeCell ref="G99:H99"/>
    <mergeCell ref="G96:H96"/>
    <mergeCell ref="I96:P96"/>
    <mergeCell ref="Q96:W96"/>
    <mergeCell ref="I99:P99"/>
    <mergeCell ref="Q99:W99"/>
    <mergeCell ref="G43:W43"/>
    <mergeCell ref="A45:D45"/>
    <mergeCell ref="G45:W45"/>
    <mergeCell ref="A18:D18"/>
    <mergeCell ref="G18:H18"/>
    <mergeCell ref="I18:P18"/>
    <mergeCell ref="Q18:W18"/>
    <mergeCell ref="A34:D34"/>
    <mergeCell ref="G16:H16"/>
    <mergeCell ref="A16:D16"/>
    <mergeCell ref="A22:D22"/>
    <mergeCell ref="A93:D93"/>
    <mergeCell ref="E93:F93"/>
    <mergeCell ref="G93:H93"/>
    <mergeCell ref="I93:P93"/>
    <mergeCell ref="Q93:W93"/>
    <mergeCell ref="Q23:W23"/>
    <mergeCell ref="E23:F23"/>
    <mergeCell ref="A51:K51"/>
    <mergeCell ref="G46:W46"/>
    <mergeCell ref="A43:D43"/>
    <mergeCell ref="Q22:W22"/>
    <mergeCell ref="I21:P21"/>
    <mergeCell ref="G28:H28"/>
    <mergeCell ref="E24:F24"/>
    <mergeCell ref="Q68:W68"/>
    <mergeCell ref="E69:F69"/>
    <mergeCell ref="A70:D70"/>
    <mergeCell ref="A69:D69"/>
    <mergeCell ref="I72:P72"/>
    <mergeCell ref="K27:P27"/>
    <mergeCell ref="G24:H24"/>
    <mergeCell ref="A19:D19"/>
    <mergeCell ref="G30:H30"/>
    <mergeCell ref="I16:P16"/>
    <mergeCell ref="U38:W38"/>
    <mergeCell ref="I22:P22"/>
    <mergeCell ref="A27:D27"/>
    <mergeCell ref="G29:H29"/>
    <mergeCell ref="A72:D72"/>
    <mergeCell ref="A17:D17"/>
    <mergeCell ref="E17:F17"/>
    <mergeCell ref="E20:F20"/>
    <mergeCell ref="E21:F21"/>
    <mergeCell ref="E22:F22"/>
    <mergeCell ref="E29:F29"/>
    <mergeCell ref="Q72:W72"/>
    <mergeCell ref="I71:P71"/>
    <mergeCell ref="E72:F72"/>
    <mergeCell ref="E27:F27"/>
    <mergeCell ref="A30:D30"/>
    <mergeCell ref="G56:H56"/>
    <mergeCell ref="G57:H57"/>
    <mergeCell ref="A28:D28"/>
    <mergeCell ref="A29:D29"/>
    <mergeCell ref="Q26:W26"/>
    <mergeCell ref="G26:H26"/>
    <mergeCell ref="E26:F26"/>
    <mergeCell ref="A39:K39"/>
    <mergeCell ref="I36:N36"/>
    <mergeCell ref="I37:N37"/>
    <mergeCell ref="I38:N38"/>
    <mergeCell ref="I35:N35"/>
    <mergeCell ref="O35:P35"/>
    <mergeCell ref="I91:P91"/>
    <mergeCell ref="Q91:W91"/>
    <mergeCell ref="A96:D96"/>
    <mergeCell ref="E96:F96"/>
    <mergeCell ref="Q15:W15"/>
    <mergeCell ref="Q16:W16"/>
    <mergeCell ref="Q17:W17"/>
    <mergeCell ref="Q20:W20"/>
    <mergeCell ref="I15:P15"/>
    <mergeCell ref="Q21:W21"/>
    <mergeCell ref="Q24:W24"/>
    <mergeCell ref="I55:P55"/>
    <mergeCell ref="G37:H37"/>
    <mergeCell ref="Q59:W59"/>
    <mergeCell ref="G36:H36"/>
    <mergeCell ref="I54:P54"/>
    <mergeCell ref="E38:F38"/>
    <mergeCell ref="A53:W53"/>
    <mergeCell ref="A36:D36"/>
    <mergeCell ref="I24:P24"/>
    <mergeCell ref="G20:H20"/>
    <mergeCell ref="Q35:R35"/>
    <mergeCell ref="Q28:W28"/>
    <mergeCell ref="G25:H25"/>
    <mergeCell ref="I25:P25"/>
    <mergeCell ref="E19:F19"/>
    <mergeCell ref="G19:H19"/>
    <mergeCell ref="I19:P19"/>
    <mergeCell ref="Q19:W19"/>
    <mergeCell ref="E18:F18"/>
    <mergeCell ref="Q37:R37"/>
    <mergeCell ref="K28:P28"/>
    <mergeCell ref="S38:T38"/>
    <mergeCell ref="K30:P30"/>
    <mergeCell ref="I57:P57"/>
    <mergeCell ref="Q56:W56"/>
    <mergeCell ref="Q57:W57"/>
    <mergeCell ref="Q27:W27"/>
    <mergeCell ref="I59:P59"/>
    <mergeCell ref="E58:F58"/>
    <mergeCell ref="E57:F57"/>
    <mergeCell ref="E83:F83"/>
    <mergeCell ref="I81:P81"/>
    <mergeCell ref="G89:H89"/>
    <mergeCell ref="I89:P89"/>
    <mergeCell ref="Q89:W89"/>
    <mergeCell ref="Q65:W65"/>
    <mergeCell ref="I80:P80"/>
    <mergeCell ref="I76:P76"/>
    <mergeCell ref="E73:F73"/>
    <mergeCell ref="G61:H61"/>
    <mergeCell ref="G60:H60"/>
    <mergeCell ref="I60:P60"/>
    <mergeCell ref="E76:F76"/>
    <mergeCell ref="G76:H76"/>
    <mergeCell ref="I77:P77"/>
    <mergeCell ref="E77:F77"/>
    <mergeCell ref="G77:H77"/>
    <mergeCell ref="G75:H75"/>
    <mergeCell ref="G72:H72"/>
    <mergeCell ref="G88:H88"/>
    <mergeCell ref="I88:P88"/>
    <mergeCell ref="Q88:W88"/>
    <mergeCell ref="G79:H79"/>
    <mergeCell ref="I79:P79"/>
    <mergeCell ref="Q80:W80"/>
    <mergeCell ref="E85:F85"/>
    <mergeCell ref="G73:H73"/>
    <mergeCell ref="Q79:W79"/>
    <mergeCell ref="A76:D76"/>
    <mergeCell ref="E78:F78"/>
    <mergeCell ref="G78:H78"/>
    <mergeCell ref="A86:D86"/>
    <mergeCell ref="E86:F86"/>
    <mergeCell ref="G86:H86"/>
    <mergeCell ref="G83:H83"/>
    <mergeCell ref="I83:P83"/>
    <mergeCell ref="Q78:W78"/>
    <mergeCell ref="A80:D80"/>
    <mergeCell ref="E80:F80"/>
    <mergeCell ref="G80:H80"/>
    <mergeCell ref="I86:P86"/>
    <mergeCell ref="A85:D85"/>
    <mergeCell ref="G85:H85"/>
    <mergeCell ref="I85:P85"/>
    <mergeCell ref="Q85:W85"/>
    <mergeCell ref="A73:D73"/>
    <mergeCell ref="K26:P26"/>
    <mergeCell ref="Q86:W86"/>
    <mergeCell ref="Q67:W67"/>
    <mergeCell ref="I69:P69"/>
    <mergeCell ref="Q69:W69"/>
    <mergeCell ref="G74:H74"/>
    <mergeCell ref="Q55:W55"/>
    <mergeCell ref="Q36:R36"/>
    <mergeCell ref="Q54:W54"/>
    <mergeCell ref="Q38:R38"/>
    <mergeCell ref="G82:H82"/>
    <mergeCell ref="A65:D65"/>
    <mergeCell ref="I63:P63"/>
    <mergeCell ref="Q63:W63"/>
    <mergeCell ref="G63:H63"/>
    <mergeCell ref="I61:P61"/>
    <mergeCell ref="E65:F65"/>
    <mergeCell ref="I65:P65"/>
    <mergeCell ref="G65:H65"/>
    <mergeCell ref="E62:F62"/>
    <mergeCell ref="A84:D84"/>
    <mergeCell ref="E84:F84"/>
    <mergeCell ref="G84:H84"/>
    <mergeCell ref="I84:P84"/>
    <mergeCell ref="Q84:W84"/>
    <mergeCell ref="Q76:W76"/>
    <mergeCell ref="A78:D78"/>
    <mergeCell ref="A74:D74"/>
    <mergeCell ref="E74:F74"/>
    <mergeCell ref="I74:P74"/>
    <mergeCell ref="I68:P68"/>
    <mergeCell ref="E66:F66"/>
    <mergeCell ref="A58:D58"/>
    <mergeCell ref="A67:D67"/>
    <mergeCell ref="E67:F67"/>
    <mergeCell ref="A66:D66"/>
    <mergeCell ref="G69:H69"/>
    <mergeCell ref="G68:H68"/>
    <mergeCell ref="Q94:W94"/>
    <mergeCell ref="Q60:W60"/>
    <mergeCell ref="I62:P62"/>
    <mergeCell ref="Q71:W71"/>
    <mergeCell ref="I58:P58"/>
    <mergeCell ref="Q58:W58"/>
    <mergeCell ref="G59:H59"/>
    <mergeCell ref="G58:H58"/>
    <mergeCell ref="I73:P73"/>
    <mergeCell ref="E82:F82"/>
    <mergeCell ref="A81:D81"/>
    <mergeCell ref="E90:F90"/>
    <mergeCell ref="G90:H90"/>
    <mergeCell ref="A79:D79"/>
    <mergeCell ref="A92:D92"/>
    <mergeCell ref="Q90:W90"/>
    <mergeCell ref="I87:P87"/>
    <mergeCell ref="Q87:W87"/>
    <mergeCell ref="E81:F81"/>
    <mergeCell ref="G81:H81"/>
    <mergeCell ref="A88:D88"/>
    <mergeCell ref="E92:F92"/>
    <mergeCell ref="G92:H92"/>
    <mergeCell ref="I92:P92"/>
    <mergeCell ref="A75:D75"/>
    <mergeCell ref="Q75:W75"/>
    <mergeCell ref="X173:AA173"/>
    <mergeCell ref="A20:D20"/>
    <mergeCell ref="A21:D21"/>
    <mergeCell ref="A33:W33"/>
    <mergeCell ref="U35:W35"/>
    <mergeCell ref="U36:W36"/>
    <mergeCell ref="S35:T35"/>
    <mergeCell ref="A38:D38"/>
    <mergeCell ref="A64:D64"/>
    <mergeCell ref="E64:F64"/>
    <mergeCell ref="I64:P64"/>
    <mergeCell ref="A59:D59"/>
    <mergeCell ref="E60:F60"/>
    <mergeCell ref="E61:F61"/>
    <mergeCell ref="G62:H62"/>
    <mergeCell ref="E162:F162"/>
    <mergeCell ref="I78:P78"/>
    <mergeCell ref="O36:P36"/>
    <mergeCell ref="O37:P37"/>
    <mergeCell ref="O38:P38"/>
    <mergeCell ref="Q30:W30"/>
    <mergeCell ref="A35:D35"/>
    <mergeCell ref="A71:D71"/>
    <mergeCell ref="E34:H34"/>
    <mergeCell ref="I34:W34"/>
    <mergeCell ref="U48:W48"/>
    <mergeCell ref="A50:D50"/>
    <mergeCell ref="G50:H50"/>
    <mergeCell ref="Q50:R50"/>
    <mergeCell ref="S50:T50"/>
    <mergeCell ref="Q83:W83"/>
    <mergeCell ref="A82:D82"/>
    <mergeCell ref="Q92:W92"/>
    <mergeCell ref="A89:D89"/>
    <mergeCell ref="E89:F89"/>
    <mergeCell ref="E63:F63"/>
    <mergeCell ref="E71:F71"/>
    <mergeCell ref="G71:H71"/>
    <mergeCell ref="A87:D87"/>
    <mergeCell ref="E87:F87"/>
    <mergeCell ref="G87:H87"/>
    <mergeCell ref="A91:D91"/>
    <mergeCell ref="E91:F91"/>
    <mergeCell ref="G91:H91"/>
    <mergeCell ref="A95:D95"/>
    <mergeCell ref="I94:P94"/>
    <mergeCell ref="Q64:W64"/>
    <mergeCell ref="G64:H64"/>
    <mergeCell ref="I150:P150"/>
    <mergeCell ref="E95:F95"/>
    <mergeCell ref="G95:H95"/>
    <mergeCell ref="A99:D99"/>
    <mergeCell ref="I75:P75"/>
    <mergeCell ref="Q73:W73"/>
    <mergeCell ref="Q77:W77"/>
    <mergeCell ref="Q74:W74"/>
    <mergeCell ref="A118:W118"/>
    <mergeCell ref="E79:F79"/>
    <mergeCell ref="I90:P90"/>
    <mergeCell ref="E88:F88"/>
    <mergeCell ref="A63:D63"/>
    <mergeCell ref="I66:P66"/>
    <mergeCell ref="A77:D77"/>
    <mergeCell ref="E75:F75"/>
    <mergeCell ref="G3:I3"/>
    <mergeCell ref="M3:O3"/>
    <mergeCell ref="G4:I4"/>
    <mergeCell ref="M4:O4"/>
    <mergeCell ref="I70:P70"/>
    <mergeCell ref="E15:H15"/>
    <mergeCell ref="E55:F55"/>
    <mergeCell ref="A14:W14"/>
    <mergeCell ref="A15:D15"/>
    <mergeCell ref="G27:H27"/>
    <mergeCell ref="E16:F16"/>
    <mergeCell ref="I56:P56"/>
    <mergeCell ref="G55:H55"/>
    <mergeCell ref="G38:H38"/>
    <mergeCell ref="E30:F30"/>
    <mergeCell ref="E56:F56"/>
    <mergeCell ref="E59:F59"/>
    <mergeCell ref="A57:D57"/>
    <mergeCell ref="A61:D61"/>
    <mergeCell ref="A60:D60"/>
    <mergeCell ref="Q70:W70"/>
    <mergeCell ref="G67:H67"/>
    <mergeCell ref="A26:D26"/>
    <mergeCell ref="A62:D62"/>
    <mergeCell ref="Q29:W29"/>
    <mergeCell ref="U37:W37"/>
    <mergeCell ref="Q61:W61"/>
    <mergeCell ref="Q62:W62"/>
    <mergeCell ref="I20:P20"/>
    <mergeCell ref="I17:P17"/>
    <mergeCell ref="K29:P29"/>
    <mergeCell ref="A56:D56"/>
    <mergeCell ref="G17:H17"/>
    <mergeCell ref="E28:F28"/>
    <mergeCell ref="A25:D25"/>
    <mergeCell ref="S48:T49"/>
    <mergeCell ref="U49:V49"/>
    <mergeCell ref="U50:V50"/>
    <mergeCell ref="E48:E49"/>
    <mergeCell ref="F48:F49"/>
    <mergeCell ref="A54:D54"/>
    <mergeCell ref="A55:D55"/>
    <mergeCell ref="E70:F70"/>
    <mergeCell ref="G70:H70"/>
    <mergeCell ref="A68:D68"/>
    <mergeCell ref="E68:F68"/>
    <mergeCell ref="Q66:W66"/>
    <mergeCell ref="G66:H66"/>
    <mergeCell ref="S37:T37"/>
    <mergeCell ref="I48:P49"/>
    <mergeCell ref="I50:P50"/>
    <mergeCell ref="S36:T36"/>
    <mergeCell ref="G22:H22"/>
    <mergeCell ref="E25:F25"/>
    <mergeCell ref="G21:H21"/>
    <mergeCell ref="A42:D42"/>
    <mergeCell ref="G42:W42"/>
    <mergeCell ref="I23:P23"/>
    <mergeCell ref="A24:D24"/>
    <mergeCell ref="Q25:W25"/>
    <mergeCell ref="E35:H35"/>
    <mergeCell ref="A46:D46"/>
    <mergeCell ref="E54:H54"/>
    <mergeCell ref="A37:D37"/>
    <mergeCell ref="A182:D182"/>
    <mergeCell ref="E180:F180"/>
    <mergeCell ref="G180:H180"/>
    <mergeCell ref="A177:D177"/>
    <mergeCell ref="Q180:W180"/>
    <mergeCell ref="G182:H182"/>
    <mergeCell ref="I182:P182"/>
    <mergeCell ref="E125:F125"/>
    <mergeCell ref="A130:D130"/>
    <mergeCell ref="A137:D137"/>
    <mergeCell ref="A148:D148"/>
    <mergeCell ref="A162:D162"/>
    <mergeCell ref="Q176:W176"/>
    <mergeCell ref="A94:D94"/>
    <mergeCell ref="E94:F94"/>
    <mergeCell ref="G94:H94"/>
    <mergeCell ref="I180:P180"/>
    <mergeCell ref="A176:D176"/>
    <mergeCell ref="E176:F176"/>
    <mergeCell ref="I175:P175"/>
    <mergeCell ref="Q175:W175"/>
    <mergeCell ref="E178:F178"/>
    <mergeCell ref="E171:F171"/>
    <mergeCell ref="G171:H171"/>
    <mergeCell ref="A181:D181"/>
    <mergeCell ref="E181:F181"/>
    <mergeCell ref="Q181:W181"/>
    <mergeCell ref="Q166:W166"/>
    <mergeCell ref="I166:P166"/>
    <mergeCell ref="A167:D167"/>
    <mergeCell ref="E167:F167"/>
    <mergeCell ref="G167:H167"/>
    <mergeCell ref="A179:D179"/>
    <mergeCell ref="E179:F179"/>
    <mergeCell ref="G179:H179"/>
    <mergeCell ref="G178:H178"/>
    <mergeCell ref="I178:P178"/>
    <mergeCell ref="G158:H158"/>
    <mergeCell ref="Q159:W159"/>
    <mergeCell ref="Q156:W156"/>
    <mergeCell ref="I67:P67"/>
    <mergeCell ref="G172:H172"/>
    <mergeCell ref="G176:H176"/>
    <mergeCell ref="I176:P176"/>
    <mergeCell ref="E160:F160"/>
    <mergeCell ref="G160:H160"/>
    <mergeCell ref="I160:P160"/>
    <mergeCell ref="I172:P172"/>
    <mergeCell ref="Q152:W152"/>
    <mergeCell ref="G150:H150"/>
    <mergeCell ref="A178:D178"/>
    <mergeCell ref="A150:D150"/>
    <mergeCell ref="A160:D160"/>
    <mergeCell ref="A159:D159"/>
    <mergeCell ref="A163:D163"/>
    <mergeCell ref="I82:P82"/>
    <mergeCell ref="Q82:W82"/>
    <mergeCell ref="I124:P124"/>
    <mergeCell ref="Q178:W178"/>
    <mergeCell ref="A90:D90"/>
    <mergeCell ref="Q81:W81"/>
    <mergeCell ref="A83:D83"/>
    <mergeCell ref="Q119:W119"/>
    <mergeCell ref="A122:D122"/>
    <mergeCell ref="I179:P179"/>
    <mergeCell ref="Q160:W160"/>
    <mergeCell ref="Q170:W170"/>
    <mergeCell ref="E163:F163"/>
    <mergeCell ref="G162:H162"/>
    <mergeCell ref="E182:F182"/>
    <mergeCell ref="Q179:W179"/>
    <mergeCell ref="I170:P170"/>
    <mergeCell ref="G163:H163"/>
    <mergeCell ref="Q165:W165"/>
    <mergeCell ref="Q163:W163"/>
    <mergeCell ref="Q164:W164"/>
    <mergeCell ref="I164:P164"/>
    <mergeCell ref="I163:P163"/>
    <mergeCell ref="Q162:W162"/>
    <mergeCell ref="I162:P162"/>
    <mergeCell ref="E164:F164"/>
    <mergeCell ref="G164:H164"/>
    <mergeCell ref="I171:P171"/>
    <mergeCell ref="Q171:W171"/>
    <mergeCell ref="E172:F172"/>
    <mergeCell ref="Q172:W172"/>
    <mergeCell ref="G174:H174"/>
    <mergeCell ref="I174:P174"/>
    <mergeCell ref="Q174:W174"/>
    <mergeCell ref="I168:P168"/>
    <mergeCell ref="E177:F177"/>
    <mergeCell ref="I177:P177"/>
    <mergeCell ref="Q161:W161"/>
    <mergeCell ref="Q177:W177"/>
    <mergeCell ref="I161:P161"/>
    <mergeCell ref="E170:F170"/>
    <mergeCell ref="K184:Q184"/>
    <mergeCell ref="AA368:AA369"/>
    <mergeCell ref="G218:H218"/>
    <mergeCell ref="E213:H213"/>
    <mergeCell ref="Q213:W213"/>
    <mergeCell ref="I181:P181"/>
    <mergeCell ref="A217:D217"/>
    <mergeCell ref="A180:D180"/>
    <mergeCell ref="Q182:W182"/>
    <mergeCell ref="A213:D213"/>
    <mergeCell ref="G181:H181"/>
    <mergeCell ref="O183:U183"/>
    <mergeCell ref="E219:F219"/>
    <mergeCell ref="A220:D220"/>
    <mergeCell ref="Q220:W220"/>
    <mergeCell ref="A214:D214"/>
    <mergeCell ref="E214:F214"/>
    <mergeCell ref="G214:H214"/>
    <mergeCell ref="Q214:W214"/>
    <mergeCell ref="Q215:W215"/>
    <mergeCell ref="Q221:W221"/>
    <mergeCell ref="J217:L217"/>
    <mergeCell ref="A224:D224"/>
    <mergeCell ref="G224:H224"/>
    <mergeCell ref="A185:W185"/>
    <mergeCell ref="J215:L215"/>
    <mergeCell ref="N215:P215"/>
    <mergeCell ref="L187:P187"/>
    <mergeCell ref="O193:P193"/>
    <mergeCell ref="E187:H187"/>
    <mergeCell ref="Q189:W189"/>
    <mergeCell ref="Q191:W191"/>
    <mergeCell ref="L191:P191"/>
    <mergeCell ref="Q188:W188"/>
    <mergeCell ref="Q190:W190"/>
    <mergeCell ref="O192:P192"/>
    <mergeCell ref="A195:D195"/>
    <mergeCell ref="G196:H196"/>
    <mergeCell ref="J214:L214"/>
    <mergeCell ref="G215:H215"/>
    <mergeCell ref="Q187:W187"/>
    <mergeCell ref="A188:D188"/>
    <mergeCell ref="A215:D215"/>
    <mergeCell ref="E215:F215"/>
    <mergeCell ref="L206:P206"/>
    <mergeCell ref="O207:P207"/>
    <mergeCell ref="E195:F195"/>
    <mergeCell ref="G195:H195"/>
    <mergeCell ref="N195:P195"/>
    <mergeCell ref="Q195:W195"/>
    <mergeCell ref="A194:D194"/>
    <mergeCell ref="E194:F194"/>
    <mergeCell ref="N214:P214"/>
    <mergeCell ref="E207:F207"/>
    <mergeCell ref="J197:K197"/>
    <mergeCell ref="J202:K202"/>
    <mergeCell ref="J207:K207"/>
    <mergeCell ref="G194:H194"/>
    <mergeCell ref="Q194:W194"/>
    <mergeCell ref="A187:D187"/>
    <mergeCell ref="J193:K193"/>
    <mergeCell ref="E191:F191"/>
    <mergeCell ref="G191:H191"/>
    <mergeCell ref="Q192:W192"/>
    <mergeCell ref="G216:H216"/>
    <mergeCell ref="Q216:W216"/>
    <mergeCell ref="G269:H269"/>
    <mergeCell ref="Q227:W227"/>
    <mergeCell ref="M222:P222"/>
    <mergeCell ref="M221:P221"/>
    <mergeCell ref="A221:D221"/>
    <mergeCell ref="A261:D261"/>
    <mergeCell ref="A250:D250"/>
    <mergeCell ref="E250:F250"/>
    <mergeCell ref="A252:D252"/>
    <mergeCell ref="A257:D257"/>
    <mergeCell ref="A243:D243"/>
    <mergeCell ref="E243:F243"/>
    <mergeCell ref="N242:P242"/>
    <mergeCell ref="A247:D247"/>
    <mergeCell ref="E247:F247"/>
    <mergeCell ref="G247:H247"/>
    <mergeCell ref="G257:H257"/>
    <mergeCell ref="A244:D244"/>
    <mergeCell ref="N243:P243"/>
    <mergeCell ref="A232:D232"/>
    <mergeCell ref="A223:D223"/>
    <mergeCell ref="A219:D219"/>
    <mergeCell ref="E218:F218"/>
    <mergeCell ref="G237:H237"/>
    <mergeCell ref="N236:P236"/>
    <mergeCell ref="A255:D255"/>
    <mergeCell ref="E255:F255"/>
    <mergeCell ref="G255:H255"/>
    <mergeCell ref="J231:L231"/>
    <mergeCell ref="M234:P234"/>
    <mergeCell ref="Q225:W225"/>
    <mergeCell ref="N219:P219"/>
    <mergeCell ref="N218:P218"/>
    <mergeCell ref="Q218:W218"/>
    <mergeCell ref="G225:H225"/>
    <mergeCell ref="E225:F225"/>
    <mergeCell ref="Q240:W240"/>
    <mergeCell ref="E237:F237"/>
    <mergeCell ref="E233:F233"/>
    <mergeCell ref="G233:H233"/>
    <mergeCell ref="G240:H240"/>
    <mergeCell ref="M239:P239"/>
    <mergeCell ref="E232:F232"/>
    <mergeCell ref="M233:P233"/>
    <mergeCell ref="Q229:W229"/>
    <mergeCell ref="M228:P228"/>
    <mergeCell ref="G236:H236"/>
    <mergeCell ref="E227:F227"/>
    <mergeCell ref="Q222:W222"/>
    <mergeCell ref="J219:L219"/>
    <mergeCell ref="J221:L221"/>
    <mergeCell ref="G222:H222"/>
    <mergeCell ref="E220:F220"/>
    <mergeCell ref="N229:P229"/>
    <mergeCell ref="G228:H228"/>
    <mergeCell ref="E231:F231"/>
    <mergeCell ref="G231:H231"/>
    <mergeCell ref="N231:P231"/>
    <mergeCell ref="N225:P225"/>
    <mergeCell ref="Q228:W228"/>
    <mergeCell ref="E228:F228"/>
    <mergeCell ref="E226:F226"/>
    <mergeCell ref="A237:D237"/>
    <mergeCell ref="Q249:W249"/>
    <mergeCell ref="Q252:W252"/>
    <mergeCell ref="Q251:W251"/>
    <mergeCell ref="E238:F238"/>
    <mergeCell ref="J234:L234"/>
    <mergeCell ref="Q242:W242"/>
    <mergeCell ref="J237:L237"/>
    <mergeCell ref="J243:L243"/>
    <mergeCell ref="Q236:W236"/>
    <mergeCell ref="G230:H230"/>
    <mergeCell ref="Q234:W234"/>
    <mergeCell ref="N230:P230"/>
    <mergeCell ref="G243:H243"/>
    <mergeCell ref="E235:F235"/>
    <mergeCell ref="G235:H235"/>
    <mergeCell ref="J239:L239"/>
    <mergeCell ref="M245:P245"/>
    <mergeCell ref="E252:F252"/>
    <mergeCell ref="E234:F234"/>
    <mergeCell ref="G234:H234"/>
    <mergeCell ref="E251:F251"/>
    <mergeCell ref="J248:L248"/>
    <mergeCell ref="J252:L252"/>
    <mergeCell ref="M251:P251"/>
    <mergeCell ref="J236:L236"/>
    <mergeCell ref="Q233:W233"/>
    <mergeCell ref="Q231:W231"/>
    <mergeCell ref="Q235:W235"/>
    <mergeCell ref="E239:F239"/>
    <mergeCell ref="G239:H239"/>
    <mergeCell ref="Q248:W248"/>
    <mergeCell ref="Q273:W273"/>
    <mergeCell ref="A239:D239"/>
    <mergeCell ref="J264:L264"/>
    <mergeCell ref="A265:H265"/>
    <mergeCell ref="A268:D268"/>
    <mergeCell ref="E263:F263"/>
    <mergeCell ref="G263:H263"/>
    <mergeCell ref="E229:F229"/>
    <mergeCell ref="G229:H229"/>
    <mergeCell ref="Q238:W238"/>
    <mergeCell ref="Q244:W244"/>
    <mergeCell ref="Q250:W250"/>
    <mergeCell ref="Q256:W256"/>
    <mergeCell ref="Q262:W262"/>
    <mergeCell ref="Q241:W241"/>
    <mergeCell ref="A234:D234"/>
    <mergeCell ref="A229:D229"/>
    <mergeCell ref="A230:D230"/>
    <mergeCell ref="A238:D238"/>
    <mergeCell ref="E242:F242"/>
    <mergeCell ref="Q254:W254"/>
    <mergeCell ref="N237:P237"/>
    <mergeCell ref="N254:P254"/>
    <mergeCell ref="E241:F241"/>
    <mergeCell ref="G241:H241"/>
    <mergeCell ref="J242:L242"/>
    <mergeCell ref="J241:L241"/>
    <mergeCell ref="Q237:W237"/>
    <mergeCell ref="Q239:W239"/>
    <mergeCell ref="E230:F230"/>
    <mergeCell ref="Q243:W243"/>
    <mergeCell ref="Q232:W232"/>
    <mergeCell ref="A269:D269"/>
    <mergeCell ref="A233:D233"/>
    <mergeCell ref="A240:D240"/>
    <mergeCell ref="A241:D241"/>
    <mergeCell ref="A235:D235"/>
    <mergeCell ref="Q274:W274"/>
    <mergeCell ref="Q275:W275"/>
    <mergeCell ref="E268:H268"/>
    <mergeCell ref="I274:P274"/>
    <mergeCell ref="Q258:W258"/>
    <mergeCell ref="A259:D259"/>
    <mergeCell ref="J260:L260"/>
    <mergeCell ref="A275:D275"/>
    <mergeCell ref="E264:F264"/>
    <mergeCell ref="Q264:W264"/>
    <mergeCell ref="A264:D264"/>
    <mergeCell ref="G271:H271"/>
    <mergeCell ref="I275:P275"/>
    <mergeCell ref="Q272:W272"/>
    <mergeCell ref="A270:D270"/>
    <mergeCell ref="E270:F270"/>
    <mergeCell ref="A274:D274"/>
    <mergeCell ref="Q271:W271"/>
    <mergeCell ref="E249:F249"/>
    <mergeCell ref="G260:H260"/>
    <mergeCell ref="J257:L257"/>
    <mergeCell ref="I273:P273"/>
    <mergeCell ref="Q259:W259"/>
    <mergeCell ref="Q246:W246"/>
    <mergeCell ref="A267:W267"/>
    <mergeCell ref="G253:H253"/>
    <mergeCell ref="G273:H273"/>
    <mergeCell ref="A249:D249"/>
    <mergeCell ref="I276:P276"/>
    <mergeCell ref="G264:H264"/>
    <mergeCell ref="E275:F275"/>
    <mergeCell ref="I271:P271"/>
    <mergeCell ref="E274:F274"/>
    <mergeCell ref="G274:H274"/>
    <mergeCell ref="A273:D273"/>
    <mergeCell ref="J261:L261"/>
    <mergeCell ref="Q270:W270"/>
    <mergeCell ref="E273:F273"/>
    <mergeCell ref="E271:F271"/>
    <mergeCell ref="A271:D271"/>
    <mergeCell ref="Q261:W261"/>
    <mergeCell ref="Q260:W260"/>
    <mergeCell ref="E253:F253"/>
    <mergeCell ref="E261:F261"/>
    <mergeCell ref="N259:P259"/>
    <mergeCell ref="M258:P258"/>
    <mergeCell ref="N255:P255"/>
    <mergeCell ref="Q255:W255"/>
    <mergeCell ref="E260:F260"/>
    <mergeCell ref="M257:P257"/>
    <mergeCell ref="Q257:W257"/>
    <mergeCell ref="A256:D256"/>
    <mergeCell ref="E256:F256"/>
    <mergeCell ref="J253:L253"/>
    <mergeCell ref="I269:P269"/>
    <mergeCell ref="Q269:W269"/>
    <mergeCell ref="G275:H275"/>
    <mergeCell ref="I268:P268"/>
    <mergeCell ref="Q268:W268"/>
    <mergeCell ref="A260:D260"/>
    <mergeCell ref="A248:D248"/>
    <mergeCell ref="N235:P235"/>
    <mergeCell ref="J235:L235"/>
    <mergeCell ref="A276:D276"/>
    <mergeCell ref="E276:F276"/>
    <mergeCell ref="G252:H252"/>
    <mergeCell ref="M263:P263"/>
    <mergeCell ref="G254:H254"/>
    <mergeCell ref="J254:L254"/>
    <mergeCell ref="E254:F254"/>
    <mergeCell ref="N261:P261"/>
    <mergeCell ref="J258:L258"/>
    <mergeCell ref="A258:D258"/>
    <mergeCell ref="G259:H259"/>
    <mergeCell ref="J240:L240"/>
    <mergeCell ref="N241:P241"/>
    <mergeCell ref="M240:P240"/>
    <mergeCell ref="E240:F240"/>
    <mergeCell ref="E248:F248"/>
    <mergeCell ref="E245:F245"/>
    <mergeCell ref="G245:H245"/>
    <mergeCell ref="E246:F246"/>
    <mergeCell ref="J249:L249"/>
    <mergeCell ref="J251:L251"/>
    <mergeCell ref="A242:D242"/>
    <mergeCell ref="G242:H242"/>
    <mergeCell ref="G276:H276"/>
    <mergeCell ref="M264:P264"/>
    <mergeCell ref="G272:H272"/>
    <mergeCell ref="I272:P272"/>
    <mergeCell ref="E269:F269"/>
    <mergeCell ref="I6:M6"/>
    <mergeCell ref="A44:D44"/>
    <mergeCell ref="G44:W44"/>
    <mergeCell ref="A236:D236"/>
    <mergeCell ref="E236:F236"/>
    <mergeCell ref="J246:L246"/>
    <mergeCell ref="A262:D262"/>
    <mergeCell ref="E262:F262"/>
    <mergeCell ref="A48:D49"/>
    <mergeCell ref="G48:H49"/>
    <mergeCell ref="Q48:R49"/>
    <mergeCell ref="Q276:W276"/>
    <mergeCell ref="G270:H270"/>
    <mergeCell ref="J263:L263"/>
    <mergeCell ref="G261:H261"/>
    <mergeCell ref="Q263:W263"/>
    <mergeCell ref="I270:P270"/>
    <mergeCell ref="E257:F257"/>
    <mergeCell ref="G258:H258"/>
    <mergeCell ref="J259:L259"/>
    <mergeCell ref="N260:P260"/>
    <mergeCell ref="E259:F259"/>
    <mergeCell ref="A246:D246"/>
    <mergeCell ref="A245:D245"/>
    <mergeCell ref="E258:F258"/>
    <mergeCell ref="A254:D254"/>
    <mergeCell ref="A251:D251"/>
    <mergeCell ref="A253:D253"/>
    <mergeCell ref="N223:P223"/>
    <mergeCell ref="J233:L233"/>
    <mergeCell ref="J245:L245"/>
    <mergeCell ref="A263:D263"/>
  </mergeCells>
  <phoneticPr fontId="74" type="noConversion"/>
  <conditionalFormatting sqref="K210:Q211 K184:Q184">
    <cfRule type="expression" dxfId="59" priority="25" stopIfTrue="1">
      <formula>AND(#REF!&lt;1,#REF!&gt;0)</formula>
    </cfRule>
  </conditionalFormatting>
  <conditionalFormatting sqref="O36:P36">
    <cfRule type="expression" dxfId="58" priority="13">
      <formula>$O$36&lt;100%</formula>
    </cfRule>
  </conditionalFormatting>
  <conditionalFormatting sqref="O37:P37">
    <cfRule type="expression" dxfId="57" priority="12">
      <formula>$O$37&lt;100%</formula>
    </cfRule>
  </conditionalFormatting>
  <conditionalFormatting sqref="O38:P38">
    <cfRule type="expression" dxfId="56" priority="11">
      <formula>$O$38&lt;100%</formula>
    </cfRule>
  </conditionalFormatting>
  <conditionalFormatting sqref="G42:W42">
    <cfRule type="expression" dxfId="55" priority="2">
      <formula>($AB$345&gt;=1) * ($E$42 &lt;=$AM$364)</formula>
    </cfRule>
  </conditionalFormatting>
  <conditionalFormatting sqref="A48:W50">
    <cfRule type="expression" dxfId="54" priority="1">
      <formula>($AB$345&gt;=1) * ($E$42 &lt;=$AM$364)</formula>
    </cfRule>
  </conditionalFormatting>
  <dataValidations xWindow="85" yWindow="500" count="14">
    <dataValidation type="list" allowBlank="1" showInputMessage="1" showErrorMessage="1" sqref="E271:F271" xr:uid="{00000000-0002-0000-0000-000000000000}">
      <formula1>$AB$396:$AB$401</formula1>
    </dataValidation>
    <dataValidation type="list" allowBlank="1" showInputMessage="1" showErrorMessage="1" sqref="E272:F273" xr:uid="{00000000-0002-0000-0000-000001000000}">
      <formula1>$AC$396:$AC$401</formula1>
    </dataValidation>
    <dataValidation type="list" allowBlank="1" showInputMessage="1" showErrorMessage="1" sqref="E270:F270" xr:uid="{00000000-0002-0000-0000-000002000000}">
      <formula1>$AA$396:$AA$401</formula1>
    </dataValidation>
    <dataValidation type="list" allowBlank="1" showInputMessage="1" showErrorMessage="1" sqref="A38:D38" xr:uid="{00000000-0002-0000-0000-000003000000}">
      <formula1>$AA$347:$AA$359</formula1>
    </dataValidation>
    <dataValidation type="list" allowBlank="1" showInputMessage="1" showErrorMessage="1" sqref="E16" xr:uid="{00000000-0002-0000-0000-000004000000}">
      <formula1>"500,345,230,161,138,115,69,34.5,13.8"</formula1>
    </dataValidation>
    <dataValidation type="list" allowBlank="1" showInputMessage="1" showErrorMessage="1" sqref="E26:F26" xr:uid="{00000000-0002-0000-0000-000005000000}">
      <formula1>$AE$348:$AE$355</formula1>
    </dataValidation>
    <dataValidation type="list" allowBlank="1" showInputMessage="1" showErrorMessage="1" sqref="E27:F27" xr:uid="{00000000-0002-0000-0000-000006000000}">
      <formula1>$AG$348:$AG$356</formula1>
    </dataValidation>
    <dataValidation type="list" allowBlank="1" showInputMessage="1" showErrorMessage="1" sqref="E29" xr:uid="{00000000-0002-0000-0000-000007000000}">
      <formula1>$AI$348:$AI$350</formula1>
    </dataValidation>
    <dataValidation type="list" allowBlank="1" showInputMessage="1" showErrorMessage="1" sqref="E30" xr:uid="{00000000-0002-0000-0000-000008000000}">
      <formula1>$AK$348:$AK$356</formula1>
    </dataValidation>
    <dataValidation type="list" allowBlank="1" showInputMessage="1" showErrorMessage="1" sqref="E28:F28" xr:uid="{00000000-0002-0000-0000-000009000000}">
      <formula1>$AJ$348:$AJ$352</formula1>
    </dataValidation>
    <dataValidation type="list" allowBlank="1" showInputMessage="1" showErrorMessage="1" sqref="E255:F255 E261:F261 E249:F249 E243:F243 E231:F231 E219:F219 E225:F225 E237:F237" xr:uid="{00000000-0002-0000-0000-00000A000000}">
      <formula1>$AC$426:$AC$443</formula1>
    </dataValidation>
    <dataValidation type="list" allowBlank="1" showInputMessage="1" showErrorMessage="1" sqref="E220:F220 E207:F207 E202:F202 E197:F197 E262:F262 E256:F256 E250:F250 E244:F244 E232:F232 E226:F226 E238:F238 E192:F192" xr:uid="{00000000-0002-0000-0000-00000B000000}">
      <formula1>$AA$446:$AA$447</formula1>
    </dataValidation>
    <dataValidation type="list" showInputMessage="1" showErrorMessage="1" sqref="A50:D50" xr:uid="{00000000-0002-0000-0000-00000D000000}">
      <formula1>INDIRECT(NERC_Criteria)</formula1>
    </dataValidation>
    <dataValidation type="list" allowBlank="1" showInputMessage="1" showErrorMessage="1" sqref="E34:H34" xr:uid="{4DF58D10-D2B0-4B63-932D-D10FBE4BBBD8}">
      <formula1>$AA$343:$AA$345</formula1>
    </dataValidation>
  </dataValidations>
  <printOptions horizontalCentered="1"/>
  <pageMargins left="0.7" right="0.7" top="0.75" bottom="0.75" header="0.3" footer="0.3"/>
  <pageSetup paperSize="17" scale="74" fitToHeight="0" orientation="landscape" r:id="rId1"/>
  <headerFooter alignWithMargins="0">
    <oddFooter>&amp;RFilename:&amp;F
Tab:&amp;A</oddFooter>
  </headerFooter>
  <ignoredErrors>
    <ignoredError sqref="E55:E59 E61:E66 E68:E73 E120 E128:E134 E136:E142 E144:E150 E152:E158 E160:E166 E168:E174 E176:E182 E75:E80 E82:E87 E89:E94 E96:E101 E103:E108 E110:E115 E122:E126" unlockedFormula="1"/>
    <ignoredError sqref="AD335:AE335" evalError="1"/>
  </ignoredErrors>
  <drawing r:id="rId2"/>
  <legacyDrawing r:id="rId3"/>
  <controls>
    <mc:AlternateContent xmlns:mc="http://schemas.openxmlformats.org/markup-compatibility/2006">
      <mc:Choice Requires="x14">
        <control shapeId="8492" r:id="rId4" name="ClearSDA">
          <controlPr defaultSize="0" autoLine="0" r:id="rId5">
            <anchor moveWithCells="1">
              <from>
                <xdr:col>8</xdr:col>
                <xdr:colOff>22860</xdr:colOff>
                <xdr:row>9</xdr:row>
                <xdr:rowOff>22860</xdr:rowOff>
              </from>
              <to>
                <xdr:col>12</xdr:col>
                <xdr:colOff>624840</xdr:colOff>
                <xdr:row>11</xdr:row>
                <xdr:rowOff>76200</xdr:rowOff>
              </to>
            </anchor>
          </controlPr>
        </control>
      </mc:Choice>
      <mc:Fallback>
        <control shapeId="8492" r:id="rId4" name="ClearSDA"/>
      </mc:Fallback>
    </mc:AlternateContent>
    <mc:AlternateContent xmlns:mc="http://schemas.openxmlformats.org/markup-compatibility/2006">
      <mc:Choice Requires="x14">
        <control shapeId="8485" r:id="rId6" name="SDA_Button1">
          <controlPr defaultSize="0" autoLine="0" r:id="rId7">
            <anchor moveWithCells="1">
              <from>
                <xdr:col>8</xdr:col>
                <xdr:colOff>22860</xdr:colOff>
                <xdr:row>6</xdr:row>
                <xdr:rowOff>60960</xdr:rowOff>
              </from>
              <to>
                <xdr:col>12</xdr:col>
                <xdr:colOff>632460</xdr:colOff>
                <xdr:row>8</xdr:row>
                <xdr:rowOff>129540</xdr:rowOff>
              </to>
            </anchor>
          </controlPr>
        </control>
      </mc:Choice>
      <mc:Fallback>
        <control shapeId="8485" r:id="rId6" name="SDA_Button1"/>
      </mc:Fallback>
    </mc:AlternateContent>
    <mc:AlternateContent xmlns:mc="http://schemas.openxmlformats.org/markup-compatibility/2006">
      <mc:Choice Requires="x14">
        <control shapeId="8240" r:id="rId8" name="Button 48">
          <controlPr defaultSize="0" print="0" autoFill="0" autoPict="0" macro="[0]!Data_Entry_Hide_and_Unhide">
            <anchor moveWithCells="1" sizeWithCells="1">
              <from>
                <xdr:col>6</xdr:col>
                <xdr:colOff>22860</xdr:colOff>
                <xdr:row>25</xdr:row>
                <xdr:rowOff>22860</xdr:rowOff>
              </from>
              <to>
                <xdr:col>10</xdr:col>
                <xdr:colOff>0</xdr:colOff>
                <xdr:row>30</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pageSetUpPr autoPageBreaks="0"/>
  </sheetPr>
  <dimension ref="A1:P23"/>
  <sheetViews>
    <sheetView topLeftCell="G1" zoomScaleNormal="100" workbookViewId="0">
      <selection activeCell="A23" sqref="A23"/>
    </sheetView>
  </sheetViews>
  <sheetFormatPr defaultRowHeight="13.2"/>
  <cols>
    <col min="1" max="1" width="18.5546875" hidden="1" customWidth="1"/>
    <col min="2" max="2" width="12.5546875" hidden="1" customWidth="1"/>
    <col min="3" max="3" width="17.44140625" hidden="1" customWidth="1"/>
    <col min="4" max="4" width="18.33203125" hidden="1" customWidth="1"/>
    <col min="5" max="5" width="19.6640625" hidden="1" customWidth="1"/>
    <col min="6" max="6" width="18" hidden="1" customWidth="1"/>
    <col min="7" max="7" width="10.44140625" customWidth="1"/>
    <col min="8" max="8" width="9.109375" customWidth="1"/>
    <col min="9" max="9" width="19.109375" customWidth="1"/>
    <col min="10" max="10" width="14.44140625" customWidth="1"/>
    <col min="11" max="11" width="16.33203125" customWidth="1"/>
    <col min="12" max="12" width="14" customWidth="1"/>
    <col min="13" max="13" width="17.6640625" customWidth="1"/>
    <col min="14" max="14" width="24.88671875" customWidth="1"/>
    <col min="15" max="15" width="21.44140625" customWidth="1"/>
    <col min="16" max="16" width="20.5546875" customWidth="1"/>
    <col min="17" max="17" width="18.44140625" customWidth="1"/>
  </cols>
  <sheetData>
    <row r="1" spans="1:16" ht="21">
      <c r="A1" s="1746" t="s">
        <v>300</v>
      </c>
      <c r="B1" s="1746"/>
      <c r="C1" s="1746"/>
      <c r="D1" s="1746"/>
      <c r="E1" s="1746"/>
      <c r="F1" s="1746"/>
      <c r="G1" s="946"/>
      <c r="H1" s="946"/>
      <c r="I1" s="1747" t="s">
        <v>301</v>
      </c>
      <c r="J1" s="1747"/>
      <c r="K1" s="1747"/>
      <c r="L1" s="1747"/>
      <c r="M1" s="1747"/>
      <c r="N1" s="1747"/>
      <c r="O1" s="1747"/>
      <c r="P1" s="1747"/>
    </row>
    <row r="2" spans="1:16">
      <c r="A2" s="1744" t="s">
        <v>302</v>
      </c>
      <c r="B2" s="1744"/>
      <c r="C2" s="1744"/>
      <c r="D2" s="1744"/>
      <c r="E2" s="1744"/>
      <c r="F2" s="1744"/>
      <c r="I2" s="1745" t="s">
        <v>303</v>
      </c>
      <c r="J2" s="1745"/>
      <c r="K2" s="1745"/>
      <c r="L2" s="1745"/>
      <c r="M2" s="1745"/>
      <c r="N2" s="1745"/>
      <c r="O2" s="1745"/>
      <c r="P2" s="1745"/>
    </row>
    <row r="3" spans="1:16">
      <c r="I3" s="1745"/>
      <c r="J3" s="1745"/>
      <c r="K3" s="1745"/>
      <c r="L3" s="1745"/>
      <c r="M3" s="1745"/>
      <c r="N3" s="1745"/>
      <c r="O3" s="1745"/>
      <c r="P3" s="1745"/>
    </row>
    <row r="4" spans="1:16" ht="57" customHeight="1" thickBot="1">
      <c r="A4" s="960" t="s">
        <v>304</v>
      </c>
      <c r="B4" s="961" t="s">
        <v>80</v>
      </c>
      <c r="C4" s="962" t="s">
        <v>305</v>
      </c>
      <c r="D4" s="962" t="s">
        <v>306</v>
      </c>
      <c r="E4" s="963" t="s">
        <v>307</v>
      </c>
      <c r="F4" s="963" t="s">
        <v>308</v>
      </c>
      <c r="G4" s="98"/>
      <c r="H4" s="98"/>
      <c r="I4" s="966" t="s">
        <v>309</v>
      </c>
      <c r="J4" s="962" t="s">
        <v>310</v>
      </c>
      <c r="K4" s="962" t="s">
        <v>311</v>
      </c>
      <c r="L4" s="962" t="s">
        <v>312</v>
      </c>
      <c r="M4" s="962" t="s">
        <v>313</v>
      </c>
      <c r="N4" s="963" t="s">
        <v>314</v>
      </c>
      <c r="O4" s="963" t="s">
        <v>315</v>
      </c>
      <c r="P4" s="967" t="s">
        <v>316</v>
      </c>
    </row>
    <row r="5" spans="1:16">
      <c r="A5" s="948" t="s">
        <v>317</v>
      </c>
      <c r="B5" s="948">
        <v>15</v>
      </c>
      <c r="C5" s="948">
        <v>10</v>
      </c>
      <c r="D5" s="948">
        <v>0.85</v>
      </c>
      <c r="E5" s="905"/>
      <c r="F5" s="993">
        <f t="shared" ref="F5:F20" si="0">B5*D5</f>
        <v>12.75</v>
      </c>
      <c r="I5" s="948" t="s">
        <v>317</v>
      </c>
      <c r="J5" s="948">
        <v>4.2</v>
      </c>
      <c r="K5" s="948">
        <v>28</v>
      </c>
      <c r="L5" s="987">
        <f>IF(PRC025ASYNC[[#This Row],[Asynchronous Generator MVA ]]="","",PRC025ASYNC[[#This Row],[Asynchronous Generator MVA ]]*PRC025ASYNC[[#This Row],[Qty Asynchronous Generators]])</f>
        <v>117.60000000000001</v>
      </c>
      <c r="M5" s="948">
        <v>0.8</v>
      </c>
      <c r="N5" s="905"/>
      <c r="O5" s="992">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94.080000000000013</v>
      </c>
      <c r="P5" s="993">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70.559999999999988</v>
      </c>
    </row>
    <row r="6" spans="1:16">
      <c r="A6" s="947" t="s">
        <v>318</v>
      </c>
      <c r="B6" s="947">
        <v>30</v>
      </c>
      <c r="C6" s="947">
        <v>10</v>
      </c>
      <c r="D6" s="947">
        <v>0.85</v>
      </c>
      <c r="E6" s="906"/>
      <c r="F6" s="994">
        <f t="shared" si="0"/>
        <v>25.5</v>
      </c>
      <c r="I6" s="947" t="s">
        <v>319</v>
      </c>
      <c r="J6" s="947"/>
      <c r="K6" s="947"/>
      <c r="L6" s="988" t="str">
        <f>IF(PRC025ASYNC[[#This Row],[Asynchronous Generator MVA ]]="","",PRC025ASYNC[[#This Row],[Asynchronous Generator MVA ]]*PRC025ASYNC[[#This Row],[Qty Asynchronous Generators]])</f>
        <v/>
      </c>
      <c r="M6" s="947"/>
      <c r="N6" s="906">
        <v>18</v>
      </c>
      <c r="O6"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6"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7" spans="1:16">
      <c r="A7" s="947" t="s">
        <v>320</v>
      </c>
      <c r="B7" s="947">
        <v>20</v>
      </c>
      <c r="C7" s="947">
        <v>10</v>
      </c>
      <c r="D7" s="947">
        <v>0.85</v>
      </c>
      <c r="E7" s="906"/>
      <c r="F7" s="994">
        <f t="shared" si="0"/>
        <v>17</v>
      </c>
      <c r="I7" s="947"/>
      <c r="J7" s="947"/>
      <c r="K7" s="947"/>
      <c r="L7" s="988" t="str">
        <f>IF(PRC025ASYNC[[#This Row],[Asynchronous Generator MVA ]]="","",PRC025ASYNC[[#This Row],[Asynchronous Generator MVA ]]*PRC025ASYNC[[#This Row],[Qty Asynchronous Generators]])</f>
        <v/>
      </c>
      <c r="M7" s="947"/>
      <c r="N7" s="906"/>
      <c r="O7"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7"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8" spans="1:16">
      <c r="A8" s="947"/>
      <c r="B8" s="947"/>
      <c r="C8" s="947"/>
      <c r="D8" s="947"/>
      <c r="E8" s="906"/>
      <c r="F8" s="994">
        <f t="shared" si="0"/>
        <v>0</v>
      </c>
      <c r="I8" s="947"/>
      <c r="J8" s="947"/>
      <c r="K8" s="947"/>
      <c r="L8" s="988" t="str">
        <f>IF(PRC025ASYNC[[#This Row],[Asynchronous Generator MVA ]]="","",PRC025ASYNC[[#This Row],[Asynchronous Generator MVA ]]*PRC025ASYNC[[#This Row],[Qty Asynchronous Generators]])</f>
        <v/>
      </c>
      <c r="M8" s="947"/>
      <c r="N8" s="906"/>
      <c r="O8"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8"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9" spans="1:16">
      <c r="A9" s="947"/>
      <c r="B9" s="947"/>
      <c r="C9" s="947"/>
      <c r="D9" s="947"/>
      <c r="E9" s="906"/>
      <c r="F9" s="994">
        <f t="shared" si="0"/>
        <v>0</v>
      </c>
      <c r="I9" s="947"/>
      <c r="J9" s="947"/>
      <c r="K9" s="947"/>
      <c r="L9" s="988" t="str">
        <f>IF(PRC025ASYNC[[#This Row],[Asynchronous Generator MVA ]]="","",PRC025ASYNC[[#This Row],[Asynchronous Generator MVA ]]*PRC025ASYNC[[#This Row],[Qty Asynchronous Generators]])</f>
        <v/>
      </c>
      <c r="M9" s="947"/>
      <c r="N9" s="906"/>
      <c r="O9"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9"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0" spans="1:16">
      <c r="A10" s="948"/>
      <c r="B10" s="947"/>
      <c r="C10" s="947"/>
      <c r="D10" s="947"/>
      <c r="E10" s="906"/>
      <c r="F10" s="994">
        <f t="shared" si="0"/>
        <v>0</v>
      </c>
      <c r="I10" s="947"/>
      <c r="J10" s="947"/>
      <c r="K10" s="947"/>
      <c r="L10" s="988" t="str">
        <f>IF(PRC025ASYNC[[#This Row],[Asynchronous Generator MVA ]]="","",PRC025ASYNC[[#This Row],[Asynchronous Generator MVA ]]*PRC025ASYNC[[#This Row],[Qty Asynchronous Generators]])</f>
        <v/>
      </c>
      <c r="M10" s="947"/>
      <c r="N10" s="906"/>
      <c r="O10"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0"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1" spans="1:16">
      <c r="A11" s="947"/>
      <c r="B11" s="947"/>
      <c r="C11" s="947"/>
      <c r="D11" s="947"/>
      <c r="E11" s="906"/>
      <c r="F11" s="994">
        <f t="shared" si="0"/>
        <v>0</v>
      </c>
      <c r="I11" s="947"/>
      <c r="J11" s="947"/>
      <c r="K11" s="947"/>
      <c r="L11" s="988" t="str">
        <f>IF(PRC025ASYNC[[#This Row],[Asynchronous Generator MVA ]]="","",PRC025ASYNC[[#This Row],[Asynchronous Generator MVA ]]*PRC025ASYNC[[#This Row],[Qty Asynchronous Generators]])</f>
        <v/>
      </c>
      <c r="M11" s="947"/>
      <c r="N11" s="906"/>
      <c r="O11"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1"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2" spans="1:16">
      <c r="A12" s="947"/>
      <c r="B12" s="947"/>
      <c r="C12" s="947"/>
      <c r="D12" s="947"/>
      <c r="E12" s="906"/>
      <c r="F12" s="994">
        <f t="shared" si="0"/>
        <v>0</v>
      </c>
      <c r="I12" s="947"/>
      <c r="J12" s="947"/>
      <c r="K12" s="947"/>
      <c r="L12" s="988" t="str">
        <f>IF(PRC025ASYNC[[#This Row],[Asynchronous Generator MVA ]]="","",PRC025ASYNC[[#This Row],[Asynchronous Generator MVA ]]*PRC025ASYNC[[#This Row],[Qty Asynchronous Generators]])</f>
        <v/>
      </c>
      <c r="M12" s="947"/>
      <c r="N12" s="906"/>
      <c r="O12"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2"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3" spans="1:16">
      <c r="A13" s="947"/>
      <c r="B13" s="947"/>
      <c r="C13" s="947"/>
      <c r="D13" s="947"/>
      <c r="E13" s="906"/>
      <c r="F13" s="994">
        <f t="shared" si="0"/>
        <v>0</v>
      </c>
      <c r="I13" s="947"/>
      <c r="J13" s="947"/>
      <c r="K13" s="947"/>
      <c r="L13" s="988" t="str">
        <f>IF(PRC025ASYNC[[#This Row],[Asynchronous Generator MVA ]]="","",PRC025ASYNC[[#This Row],[Asynchronous Generator MVA ]]*PRC025ASYNC[[#This Row],[Qty Asynchronous Generators]])</f>
        <v/>
      </c>
      <c r="M13" s="947"/>
      <c r="N13" s="906"/>
      <c r="O13"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3"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4" spans="1:16">
      <c r="A14" s="947"/>
      <c r="B14" s="947"/>
      <c r="C14" s="947"/>
      <c r="D14" s="947"/>
      <c r="E14" s="906"/>
      <c r="F14" s="994">
        <f t="shared" si="0"/>
        <v>0</v>
      </c>
      <c r="I14" s="947"/>
      <c r="J14" s="947"/>
      <c r="K14" s="947"/>
      <c r="L14" s="988" t="str">
        <f>IF(PRC025ASYNC[[#This Row],[Asynchronous Generator MVA ]]="","",PRC025ASYNC[[#This Row],[Asynchronous Generator MVA ]]*PRC025ASYNC[[#This Row],[Qty Asynchronous Generators]])</f>
        <v/>
      </c>
      <c r="M14" s="947"/>
      <c r="N14" s="906"/>
      <c r="O14"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4"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5" spans="1:16">
      <c r="A15" s="948"/>
      <c r="B15" s="947"/>
      <c r="C15" s="947"/>
      <c r="D15" s="947"/>
      <c r="E15" s="906"/>
      <c r="F15" s="994">
        <f t="shared" si="0"/>
        <v>0</v>
      </c>
      <c r="I15" s="947"/>
      <c r="J15" s="947"/>
      <c r="K15" s="947"/>
      <c r="L15" s="988" t="str">
        <f>IF(PRC025ASYNC[[#This Row],[Asynchronous Generator MVA ]]="","",PRC025ASYNC[[#This Row],[Asynchronous Generator MVA ]]*PRC025ASYNC[[#This Row],[Qty Asynchronous Generators]])</f>
        <v/>
      </c>
      <c r="M15" s="947"/>
      <c r="N15" s="906"/>
      <c r="O15"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5"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6" spans="1:16">
      <c r="A16" s="947"/>
      <c r="B16" s="947"/>
      <c r="C16" s="947"/>
      <c r="D16" s="947"/>
      <c r="E16" s="906"/>
      <c r="F16" s="994">
        <f t="shared" si="0"/>
        <v>0</v>
      </c>
      <c r="I16" s="947"/>
      <c r="J16" s="947"/>
      <c r="K16" s="947"/>
      <c r="L16" s="988" t="str">
        <f>IF(PRC025ASYNC[[#This Row],[Asynchronous Generator MVA ]]="","",PRC025ASYNC[[#This Row],[Asynchronous Generator MVA ]]*PRC025ASYNC[[#This Row],[Qty Asynchronous Generators]])</f>
        <v/>
      </c>
      <c r="M16" s="947"/>
      <c r="N16" s="906"/>
      <c r="O16"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6"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7" spans="1:16">
      <c r="A17" s="947"/>
      <c r="B17" s="947"/>
      <c r="C17" s="947"/>
      <c r="D17" s="947"/>
      <c r="E17" s="906"/>
      <c r="F17" s="994">
        <f t="shared" si="0"/>
        <v>0</v>
      </c>
      <c r="I17" s="947"/>
      <c r="J17" s="947"/>
      <c r="K17" s="947"/>
      <c r="L17" s="988" t="str">
        <f>IF(PRC025ASYNC[[#This Row],[Asynchronous Generator MVA ]]="","",PRC025ASYNC[[#This Row],[Asynchronous Generator MVA ]]*PRC025ASYNC[[#This Row],[Qty Asynchronous Generators]])</f>
        <v/>
      </c>
      <c r="M17" s="947"/>
      <c r="N17" s="906"/>
      <c r="O17"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7"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8" spans="1:16">
      <c r="A18" s="947"/>
      <c r="B18" s="947"/>
      <c r="C18" s="947"/>
      <c r="D18" s="947"/>
      <c r="E18" s="906"/>
      <c r="F18" s="994">
        <f t="shared" si="0"/>
        <v>0</v>
      </c>
      <c r="I18" s="947"/>
      <c r="J18" s="947"/>
      <c r="K18" s="947"/>
      <c r="L18" s="988" t="str">
        <f>IF(PRC025ASYNC[[#This Row],[Asynchronous Generator MVA ]]="","",PRC025ASYNC[[#This Row],[Asynchronous Generator MVA ]]*PRC025ASYNC[[#This Row],[Qty Asynchronous Generators]])</f>
        <v/>
      </c>
      <c r="M18" s="947"/>
      <c r="N18" s="906"/>
      <c r="O18"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8"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19" spans="1:16">
      <c r="A19" s="947"/>
      <c r="B19" s="947"/>
      <c r="C19" s="947"/>
      <c r="D19" s="947"/>
      <c r="E19" s="906"/>
      <c r="F19" s="994">
        <f t="shared" si="0"/>
        <v>0</v>
      </c>
      <c r="I19" s="947"/>
      <c r="J19" s="947"/>
      <c r="K19" s="947"/>
      <c r="L19" s="988" t="str">
        <f>IF(PRC025ASYNC[[#This Row],[Asynchronous Generator MVA ]]="","",PRC025ASYNC[[#This Row],[Asynchronous Generator MVA ]]*PRC025ASYNC[[#This Row],[Qty Asynchronous Generators]])</f>
        <v/>
      </c>
      <c r="M19" s="947"/>
      <c r="N19" s="906"/>
      <c r="O19"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19"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20" spans="1:16">
      <c r="A20" s="948"/>
      <c r="B20" s="947"/>
      <c r="C20" s="947"/>
      <c r="D20" s="947"/>
      <c r="E20" s="906"/>
      <c r="F20" s="994">
        <f t="shared" si="0"/>
        <v>0</v>
      </c>
      <c r="I20" s="948"/>
      <c r="J20" s="947"/>
      <c r="K20" s="947"/>
      <c r="L20" s="988" t="str">
        <f>IF(PRC025ASYNC[[#This Row],[Asynchronous Generator MVA ]]="","",PRC025ASYNC[[#This Row],[Asynchronous Generator MVA ]]*PRC025ASYNC[[#This Row],[Qty Asynchronous Generators]])</f>
        <v/>
      </c>
      <c r="M20" s="947"/>
      <c r="N20" s="906"/>
      <c r="O20" s="992" t="str">
        <f>IF(PRC025ASYNC[[#This Row],[Static/Dynamic Devices  Reactive Power in MVAR that contribute to power flow]]="",IF(PRC025ASYNC[[#This Row],[Asynchronous Generator MVA ]]="","",PRC025ASYNC[[#This Row],[Asynchronous Generator MVA ]]*PRC025ASYNC[[#This Row],[Qty Asynchronous Generators]]*PRC025ASYNC[[#This Row],[Asynchronous Generator Rated Power Factor]]),"")</f>
        <v/>
      </c>
      <c r="P20" s="993" t="str">
        <f>IF(PRC025ASYNC[[#This Row],[Static/Dynamic Devices  Reactive Power in MVAR that contribute to power flow]]="",IF(PRC025ASYNC[[#This Row],[Asynchronous Generator Name or Static/Dynamic Device Name]]="","",PRC025ASYNC[[#This Row],[Asynchronous Generator MVA ]]*PRC025ASYNC[[#This Row],[Qty Asynchronous Generators]]*SIN(ACOS(PRC025ASYNC[[#This Row],[Asynchronous Generator Rated Power Factor]]))),"")</f>
        <v/>
      </c>
    </row>
    <row r="21" spans="1:16">
      <c r="A21" s="989" t="s">
        <v>321</v>
      </c>
      <c r="B21" s="990">
        <f>SUM(B5:B20)</f>
        <v>65</v>
      </c>
      <c r="C21" s="995">
        <f>SUM(C5:C20)</f>
        <v>30</v>
      </c>
      <c r="D21" s="959"/>
      <c r="E21" s="991">
        <f>SUM(E5:E20)</f>
        <v>0</v>
      </c>
      <c r="F21" s="991">
        <f>SUM(F5:F20)</f>
        <v>55.25</v>
      </c>
      <c r="I21" s="989" t="s">
        <v>321</v>
      </c>
      <c r="J21" s="990">
        <f>SUM(L5:L20)</f>
        <v>117.60000000000001</v>
      </c>
      <c r="K21" s="990"/>
      <c r="L21" s="990"/>
      <c r="M21" s="990"/>
      <c r="N21" s="991">
        <f>SUM(N5:N20)</f>
        <v>18</v>
      </c>
      <c r="O21" s="991">
        <f>SUM(O5:O20)</f>
        <v>94.080000000000013</v>
      </c>
      <c r="P21" s="991">
        <f>SUM(P5:P20)</f>
        <v>70.559999999999988</v>
      </c>
    </row>
    <row r="23" spans="1:16">
      <c r="A23" s="980" t="str">
        <f ca="1">HYPERLINK("#"&amp;CELL("address",PRC_025_MVA),"Back to Data Entry")</f>
        <v>Back to Data Entry</v>
      </c>
      <c r="B23" s="670" t="s">
        <v>322</v>
      </c>
      <c r="I23" s="980" t="str">
        <f ca="1">HYPERLINK("#"&amp;CELL("address",'1) Data Entry'!E42),"Back to Data Entry")</f>
        <v>Back to Data Entry</v>
      </c>
      <c r="J23" s="670" t="s">
        <v>322</v>
      </c>
    </row>
  </sheetData>
  <sheetProtection algorithmName="SHA-512" hashValue="dgXYoE6GWNKPzKfuAF9yJR9iI5FcRAcRMFh28GO10IKg5wbEkuQ1I5CSfPLGdZ7Pd4fGl5QUBpUoQQG1AUrR3A==" saltValue="YVW1ux53czS1FbJz7JJtqg==" spinCount="100000" sheet="1" objects="1" scenarios="1"/>
  <mergeCells count="4">
    <mergeCell ref="A2:F2"/>
    <mergeCell ref="I2:P3"/>
    <mergeCell ref="A1:F1"/>
    <mergeCell ref="I1:P1"/>
  </mergeCells>
  <pageMargins left="0.7" right="0.7" top="0.75" bottom="0.75" header="0.3" footer="0.3"/>
  <pageSetup scale="64" orientation="portrait" r:id="rId1"/>
  <ignoredErrors>
    <ignoredError sqref="P5:P21" calculatedColumn="1"/>
  </ignoredErrors>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AF40"/>
  <sheetViews>
    <sheetView showGridLines="0" zoomScaleNormal="100" zoomScaleSheetLayoutView="100" workbookViewId="0">
      <selection activeCell="P20" sqref="P20"/>
    </sheetView>
  </sheetViews>
  <sheetFormatPr defaultColWidth="9.109375" defaultRowHeight="14.4"/>
  <cols>
    <col min="1" max="1" width="3.44140625" style="452" customWidth="1"/>
    <col min="2" max="2" width="1.44140625" style="452" customWidth="1"/>
    <col min="3" max="3" width="2.5546875" style="452" customWidth="1"/>
    <col min="4" max="4" width="12.88671875" style="452" customWidth="1"/>
    <col min="5" max="5" width="2.5546875" style="452" customWidth="1"/>
    <col min="6" max="7" width="1.44140625" style="452" customWidth="1"/>
    <col min="8" max="8" width="2.5546875" style="452" customWidth="1"/>
    <col min="9" max="9" width="6.33203125" style="452" customWidth="1"/>
    <col min="10" max="10" width="1.44140625" style="452" customWidth="1"/>
    <col min="11" max="12" width="1.33203125" style="452" customWidth="1"/>
    <col min="13" max="13" width="3.109375" style="452" customWidth="1"/>
    <col min="14" max="14" width="13" style="452" customWidth="1"/>
    <col min="15" max="15" width="2.33203125" style="452" customWidth="1"/>
    <col min="16" max="17" width="1.33203125" style="452" customWidth="1"/>
    <col min="18" max="18" width="2.5546875" style="452" customWidth="1"/>
    <col min="19" max="19" width="24.33203125" style="452" customWidth="1"/>
    <col min="20" max="20" width="2.5546875" style="452" customWidth="1"/>
    <col min="21" max="22" width="1.33203125" style="452" customWidth="1"/>
    <col min="23" max="23" width="2.33203125" style="452" customWidth="1"/>
    <col min="24" max="24" width="1.44140625" style="452" customWidth="1"/>
    <col min="25" max="25" width="12.5546875" style="452" customWidth="1"/>
    <col min="26" max="26" width="2.5546875" style="452" customWidth="1"/>
    <col min="27" max="27" width="1.44140625" style="452" customWidth="1"/>
    <col min="28" max="28" width="6.88671875" style="452" customWidth="1"/>
    <col min="29" max="29" width="5.44140625" style="452" customWidth="1"/>
    <col min="30" max="16384" width="9.109375" style="452"/>
  </cols>
  <sheetData>
    <row r="1" spans="1:32" ht="30.75" customHeight="1" thickBot="1">
      <c r="A1" s="1759" t="s">
        <v>323</v>
      </c>
      <c r="B1" s="1760"/>
      <c r="C1" s="1760"/>
      <c r="D1" s="1760"/>
      <c r="E1" s="1760"/>
      <c r="F1" s="1760"/>
      <c r="G1" s="1760"/>
      <c r="H1" s="1760"/>
      <c r="I1" s="1760"/>
      <c r="J1" s="1760"/>
      <c r="K1" s="1760"/>
      <c r="L1" s="1760"/>
      <c r="M1" s="1760"/>
      <c r="N1" s="1760"/>
      <c r="O1" s="1760"/>
      <c r="P1" s="1760"/>
      <c r="Q1" s="1760"/>
      <c r="R1" s="1760"/>
      <c r="S1" s="1760"/>
      <c r="T1" s="1760"/>
      <c r="U1" s="1760"/>
      <c r="V1" s="1760"/>
      <c r="W1" s="1760"/>
      <c r="X1" s="1760"/>
      <c r="Y1" s="1760"/>
      <c r="Z1" s="1760"/>
      <c r="AA1" s="1760"/>
      <c r="AB1" s="1760"/>
      <c r="AC1" s="1761"/>
    </row>
    <row r="2" spans="1:32">
      <c r="A2" s="482"/>
      <c r="K2" s="1767" t="s">
        <v>324</v>
      </c>
      <c r="L2" s="1768"/>
      <c r="M2" s="1768"/>
      <c r="N2" s="1768"/>
      <c r="O2" s="1768"/>
      <c r="P2" s="1768"/>
      <c r="Q2" s="1768"/>
      <c r="R2" s="1768"/>
      <c r="S2" s="1769"/>
      <c r="AC2" s="483"/>
    </row>
    <row r="3" spans="1:32">
      <c r="A3" s="482"/>
      <c r="O3" s="1370"/>
      <c r="P3" s="1370"/>
      <c r="AC3" s="483"/>
    </row>
    <row r="4" spans="1:32">
      <c r="A4" s="482"/>
      <c r="O4" s="1370"/>
      <c r="P4" s="1370"/>
      <c r="AC4" s="483"/>
    </row>
    <row r="5" spans="1:32">
      <c r="A5" s="482"/>
      <c r="M5" s="1369" t="s">
        <v>325</v>
      </c>
      <c r="AC5" s="483"/>
    </row>
    <row r="6" spans="1:32" ht="15" thickBot="1">
      <c r="A6" s="482"/>
      <c r="B6" s="1369" t="s">
        <v>326</v>
      </c>
      <c r="F6" s="1370" t="s">
        <v>327</v>
      </c>
      <c r="M6" s="1369" t="s">
        <v>328</v>
      </c>
      <c r="O6" s="472"/>
      <c r="P6" s="472"/>
      <c r="Q6" s="508"/>
      <c r="R6" s="472"/>
      <c r="S6" s="1371" t="s">
        <v>329</v>
      </c>
      <c r="T6" s="472"/>
      <c r="U6" s="508"/>
      <c r="V6" s="472"/>
      <c r="W6" s="472"/>
      <c r="AC6" s="483"/>
    </row>
    <row r="7" spans="1:32" ht="13.5" customHeight="1" thickTop="1">
      <c r="A7" s="482"/>
      <c r="B7" s="478"/>
      <c r="C7" s="454"/>
      <c r="E7" s="455"/>
      <c r="F7" s="454"/>
      <c r="G7" s="464"/>
      <c r="N7" s="464"/>
      <c r="P7" s="507"/>
      <c r="S7" s="493" t="s">
        <v>330</v>
      </c>
      <c r="T7" s="455"/>
      <c r="U7" s="454"/>
      <c r="V7" s="511"/>
      <c r="W7" s="455"/>
      <c r="X7" s="457"/>
      <c r="Y7" s="457"/>
      <c r="Z7" s="457"/>
      <c r="AA7" s="457"/>
      <c r="AB7" s="457"/>
      <c r="AC7" s="484"/>
      <c r="AD7" s="454"/>
      <c r="AE7" s="454"/>
      <c r="AF7" s="454"/>
    </row>
    <row r="8" spans="1:32" ht="6.75" customHeight="1" thickBot="1">
      <c r="A8" s="482"/>
      <c r="B8" s="480"/>
      <c r="C8" s="458"/>
      <c r="E8" s="458"/>
      <c r="F8" s="454"/>
      <c r="G8" s="464"/>
      <c r="N8" s="464"/>
      <c r="P8" s="499"/>
      <c r="Q8" s="500"/>
      <c r="R8" s="1762" t="s">
        <v>331</v>
      </c>
      <c r="S8" s="1763"/>
      <c r="U8" s="504"/>
      <c r="V8" s="500"/>
      <c r="W8" s="1764" t="s">
        <v>332</v>
      </c>
      <c r="X8" s="1765"/>
      <c r="Y8" s="1765"/>
      <c r="Z8" s="1765"/>
      <c r="AA8" s="1765"/>
      <c r="AB8" s="1765"/>
      <c r="AC8" s="1766"/>
      <c r="AD8" s="1748"/>
      <c r="AE8" s="1748"/>
      <c r="AF8" s="1748"/>
    </row>
    <row r="9" spans="1:32" ht="6.75" customHeight="1" thickTop="1">
      <c r="A9" s="489"/>
      <c r="C9" s="462"/>
      <c r="D9" s="463"/>
      <c r="E9" s="462"/>
      <c r="F9" s="463"/>
      <c r="G9" s="464"/>
      <c r="K9" s="461"/>
      <c r="L9" s="498"/>
      <c r="M9" s="498"/>
      <c r="N9" s="464"/>
      <c r="P9" s="494"/>
      <c r="Q9" s="496"/>
      <c r="R9" s="1762"/>
      <c r="S9" s="1763"/>
      <c r="T9" s="468"/>
      <c r="U9" s="505"/>
      <c r="V9" s="496"/>
      <c r="W9" s="1764"/>
      <c r="X9" s="1765"/>
      <c r="Y9" s="1765"/>
      <c r="Z9" s="1765"/>
      <c r="AA9" s="1765"/>
      <c r="AB9" s="1765"/>
      <c r="AC9" s="1766"/>
      <c r="AD9" s="466"/>
      <c r="AE9" s="466"/>
      <c r="AF9" s="467"/>
    </row>
    <row r="10" spans="1:32" ht="11.25" customHeight="1">
      <c r="A10" s="489"/>
      <c r="E10" s="455"/>
      <c r="F10" s="470"/>
      <c r="K10" s="464"/>
      <c r="N10" s="464"/>
      <c r="Q10" s="501"/>
      <c r="R10" s="468"/>
      <c r="S10" s="469"/>
      <c r="T10" s="468"/>
      <c r="U10" s="469"/>
      <c r="V10" s="501"/>
      <c r="W10" s="465"/>
      <c r="X10" s="454"/>
      <c r="Y10" s="454"/>
      <c r="Z10" s="454"/>
      <c r="AA10" s="454"/>
      <c r="AB10" s="454"/>
      <c r="AC10" s="485"/>
      <c r="AD10" s="466"/>
      <c r="AE10" s="466"/>
      <c r="AF10" s="467"/>
    </row>
    <row r="11" spans="1:32" ht="11.25" customHeight="1">
      <c r="A11" s="497"/>
      <c r="E11" s="455"/>
      <c r="F11" s="470"/>
      <c r="K11" s="464"/>
      <c r="Q11" s="464"/>
      <c r="R11" s="468"/>
      <c r="S11" s="469"/>
      <c r="T11" s="468"/>
      <c r="U11" s="469"/>
      <c r="V11" s="464"/>
      <c r="W11" s="465"/>
      <c r="X11" s="454"/>
      <c r="Y11" s="454"/>
      <c r="Z11" s="454"/>
      <c r="AA11" s="454"/>
      <c r="AB11" s="454"/>
      <c r="AC11" s="485"/>
      <c r="AD11" s="466"/>
      <c r="AE11" s="466"/>
      <c r="AF11" s="467"/>
    </row>
    <row r="12" spans="1:32" ht="11.25" customHeight="1">
      <c r="A12" s="497"/>
      <c r="E12" s="455"/>
      <c r="F12" s="470"/>
      <c r="K12" s="464"/>
      <c r="Q12" s="464"/>
      <c r="R12" s="468"/>
      <c r="S12" s="469"/>
      <c r="T12" s="468"/>
      <c r="U12" s="469"/>
      <c r="V12" s="464"/>
      <c r="W12" s="465"/>
      <c r="X12" s="454"/>
      <c r="Y12" s="454"/>
      <c r="Z12" s="454"/>
      <c r="AA12" s="454"/>
      <c r="AB12" s="454"/>
      <c r="AC12" s="485"/>
      <c r="AD12" s="466"/>
      <c r="AE12" s="466"/>
      <c r="AF12" s="467"/>
    </row>
    <row r="13" spans="1:32" ht="14.25" customHeight="1">
      <c r="A13" s="482"/>
      <c r="B13" s="1370" t="s">
        <v>333</v>
      </c>
      <c r="E13" s="454"/>
      <c r="F13" s="453"/>
      <c r="K13" s="464"/>
      <c r="Q13" s="464"/>
      <c r="R13" s="468"/>
      <c r="S13" s="454"/>
      <c r="T13" s="455"/>
      <c r="U13" s="469"/>
      <c r="V13" s="464"/>
      <c r="W13" s="465"/>
      <c r="X13" s="454"/>
      <c r="Y13" s="454"/>
      <c r="Z13" s="454"/>
      <c r="AA13" s="454"/>
      <c r="AB13" s="454"/>
      <c r="AC13" s="485"/>
      <c r="AD13" s="466"/>
      <c r="AE13" s="466"/>
      <c r="AF13" s="467"/>
    </row>
    <row r="14" spans="1:32" ht="11.25" customHeight="1">
      <c r="A14" s="486"/>
      <c r="D14" s="454"/>
      <c r="E14" s="455"/>
      <c r="F14" s="456"/>
      <c r="K14" s="464"/>
      <c r="N14" s="1750" t="s">
        <v>334</v>
      </c>
      <c r="O14" s="454"/>
      <c r="P14" s="455"/>
      <c r="Q14" s="464"/>
      <c r="S14" s="454"/>
      <c r="T14" s="455"/>
      <c r="U14" s="454"/>
      <c r="V14" s="464"/>
      <c r="W14" s="455"/>
      <c r="X14" s="457"/>
      <c r="Y14" s="457"/>
      <c r="Z14" s="457"/>
      <c r="AA14" s="457"/>
      <c r="AB14" s="457"/>
      <c r="AC14" s="484"/>
      <c r="AD14" s="454"/>
      <c r="AE14" s="454"/>
      <c r="AF14" s="454"/>
    </row>
    <row r="15" spans="1:32" ht="6.75" customHeight="1" thickBot="1">
      <c r="A15" s="486"/>
      <c r="B15" s="487"/>
      <c r="C15" s="458"/>
      <c r="D15" s="459"/>
      <c r="E15" s="458"/>
      <c r="F15" s="456"/>
      <c r="G15" s="487"/>
      <c r="H15" s="458"/>
      <c r="I15" s="471"/>
      <c r="J15" s="472"/>
      <c r="K15" s="480"/>
      <c r="L15" s="472"/>
      <c r="M15" s="472"/>
      <c r="N15" s="1758"/>
      <c r="O15" s="459"/>
      <c r="Q15" s="464"/>
      <c r="S15" s="454"/>
      <c r="U15" s="454"/>
      <c r="V15" s="464"/>
      <c r="W15" s="473"/>
      <c r="X15" s="473"/>
      <c r="Y15" s="473"/>
      <c r="Z15" s="473"/>
      <c r="AA15" s="473"/>
      <c r="AB15" s="473"/>
      <c r="AC15" s="488"/>
      <c r="AD15" s="454"/>
      <c r="AE15" s="474"/>
      <c r="AF15" s="474"/>
    </row>
    <row r="16" spans="1:32" ht="6.75" customHeight="1" thickTop="1">
      <c r="A16" s="489"/>
      <c r="B16" s="475"/>
      <c r="C16" s="462"/>
      <c r="D16" s="463"/>
      <c r="E16" s="462"/>
      <c r="F16" s="463"/>
      <c r="G16" s="476"/>
      <c r="H16" s="462"/>
      <c r="I16" s="1753" t="s">
        <v>335</v>
      </c>
      <c r="J16" s="1753"/>
      <c r="K16" s="1753"/>
      <c r="L16" s="1753"/>
      <c r="M16" s="1753"/>
      <c r="N16" s="468"/>
      <c r="O16" s="463"/>
      <c r="P16" s="503"/>
      <c r="Q16" s="464"/>
      <c r="R16" s="468"/>
      <c r="S16" s="469"/>
      <c r="T16" s="468"/>
      <c r="U16" s="469"/>
      <c r="V16" s="464"/>
      <c r="W16" s="465"/>
      <c r="X16" s="457"/>
      <c r="Y16" s="457"/>
      <c r="Z16" s="457"/>
      <c r="AA16" s="457"/>
      <c r="AB16" s="457"/>
      <c r="AC16" s="490"/>
      <c r="AD16" s="454"/>
      <c r="AE16" s="474"/>
      <c r="AF16" s="466"/>
    </row>
    <row r="17" spans="1:32" ht="11.25" customHeight="1">
      <c r="A17" s="489"/>
      <c r="D17" s="454"/>
      <c r="E17" s="455"/>
      <c r="F17" s="470"/>
      <c r="H17" s="491"/>
      <c r="I17" s="1754"/>
      <c r="J17" s="1754"/>
      <c r="K17" s="1754"/>
      <c r="L17" s="1754"/>
      <c r="M17" s="1754"/>
      <c r="N17" s="491"/>
      <c r="P17" s="455"/>
      <c r="Q17" s="464"/>
      <c r="S17" s="454"/>
      <c r="T17" s="455"/>
      <c r="U17" s="469"/>
      <c r="V17" s="464"/>
      <c r="W17" s="473"/>
      <c r="X17" s="473"/>
      <c r="Y17" s="473"/>
      <c r="Z17" s="473"/>
      <c r="AA17" s="473"/>
      <c r="AB17" s="473"/>
      <c r="AC17" s="488"/>
      <c r="AD17" s="454"/>
      <c r="AE17" s="474"/>
      <c r="AF17" s="474"/>
    </row>
    <row r="18" spans="1:32">
      <c r="A18" s="482"/>
      <c r="E18" s="454"/>
      <c r="F18" s="477"/>
      <c r="G18" s="464"/>
      <c r="H18" s="492"/>
      <c r="I18" s="492"/>
      <c r="J18" s="492"/>
      <c r="K18" s="492"/>
      <c r="L18" s="492"/>
      <c r="M18" s="492"/>
      <c r="N18" s="492"/>
      <c r="Q18" s="478"/>
      <c r="R18" s="474"/>
      <c r="S18" s="466"/>
      <c r="T18" s="454"/>
      <c r="V18" s="464"/>
      <c r="W18" s="465"/>
      <c r="X18" s="457"/>
      <c r="Y18" s="457"/>
      <c r="Z18" s="457"/>
      <c r="AA18" s="457"/>
      <c r="AB18" s="457"/>
      <c r="AC18" s="490"/>
      <c r="AD18" s="454"/>
      <c r="AE18" s="466"/>
      <c r="AF18" s="466"/>
    </row>
    <row r="19" spans="1:32" ht="11.25" customHeight="1">
      <c r="A19" s="482"/>
      <c r="B19" s="1370" t="s">
        <v>336</v>
      </c>
      <c r="E19" s="454"/>
      <c r="F19" s="493"/>
      <c r="G19" s="464"/>
      <c r="Q19" s="478"/>
      <c r="R19" s="467"/>
      <c r="S19" s="467"/>
      <c r="T19" s="454"/>
      <c r="V19" s="464"/>
      <c r="W19" s="455"/>
      <c r="X19" s="460"/>
      <c r="Y19" s="460"/>
      <c r="Z19" s="460"/>
      <c r="AA19" s="460" t="s">
        <v>337</v>
      </c>
      <c r="AB19" s="460"/>
      <c r="AC19" s="484"/>
      <c r="AD19" s="479"/>
      <c r="AE19" s="454"/>
      <c r="AF19" s="466"/>
    </row>
    <row r="20" spans="1:32" ht="11.25" customHeight="1">
      <c r="A20" s="482"/>
      <c r="B20" s="478"/>
      <c r="C20" s="454"/>
      <c r="E20" s="455"/>
      <c r="F20" s="454"/>
      <c r="G20" s="464"/>
      <c r="Q20" s="502"/>
      <c r="R20" s="454"/>
      <c r="V20" s="509"/>
      <c r="W20" s="455"/>
      <c r="X20" s="454"/>
      <c r="Y20" s="1751" t="s">
        <v>338</v>
      </c>
      <c r="Z20" s="454"/>
      <c r="AA20" s="454"/>
      <c r="AB20" s="509"/>
      <c r="AC20" s="483"/>
    </row>
    <row r="21" spans="1:32" ht="6.75" customHeight="1" thickBot="1">
      <c r="A21" s="482"/>
      <c r="B21" s="480"/>
      <c r="C21" s="458"/>
      <c r="E21" s="458"/>
      <c r="F21" s="454"/>
      <c r="G21" s="464"/>
      <c r="P21" s="499"/>
      <c r="Q21" s="500"/>
      <c r="R21" s="1755" t="s">
        <v>339</v>
      </c>
      <c r="S21" s="1756"/>
      <c r="V21" s="509"/>
      <c r="X21" s="454"/>
      <c r="Y21" s="1752"/>
      <c r="Z21" s="516"/>
      <c r="AA21" s="454"/>
      <c r="AB21" s="509"/>
      <c r="AC21" s="483"/>
    </row>
    <row r="22" spans="1:32" ht="6.75" customHeight="1" thickTop="1">
      <c r="A22" s="489"/>
      <c r="C22" s="462"/>
      <c r="D22" s="463"/>
      <c r="E22" s="462"/>
      <c r="F22" s="463"/>
      <c r="G22" s="464"/>
      <c r="P22" s="494"/>
      <c r="Q22" s="496"/>
      <c r="R22" s="1755"/>
      <c r="S22" s="1756"/>
      <c r="T22" s="469"/>
      <c r="U22" s="469"/>
      <c r="V22" s="518"/>
      <c r="W22" s="515"/>
      <c r="X22" s="463"/>
      <c r="Y22" s="519"/>
      <c r="Z22" s="517"/>
      <c r="AA22" s="520"/>
      <c r="AB22" s="510"/>
      <c r="AC22" s="483"/>
    </row>
    <row r="23" spans="1:32" ht="11.25" customHeight="1">
      <c r="A23" s="489"/>
      <c r="E23" s="455"/>
      <c r="F23" s="470"/>
      <c r="P23" s="506"/>
      <c r="V23" s="509"/>
      <c r="W23" s="455"/>
      <c r="X23" s="469"/>
      <c r="Y23" s="469"/>
      <c r="Z23" s="469"/>
      <c r="AA23" s="469"/>
      <c r="AB23" s="510"/>
      <c r="AC23" s="483"/>
    </row>
    <row r="24" spans="1:32">
      <c r="A24" s="482"/>
      <c r="P24" s="453"/>
      <c r="V24" s="464"/>
      <c r="AC24" s="483"/>
    </row>
    <row r="25" spans="1:32">
      <c r="A25" s="482"/>
      <c r="J25" s="1369" t="s">
        <v>340</v>
      </c>
      <c r="P25" s="453"/>
      <c r="V25" s="464"/>
      <c r="AC25" s="483"/>
    </row>
    <row r="26" spans="1:32" ht="11.25" customHeight="1">
      <c r="A26" s="482"/>
      <c r="I26" s="453"/>
      <c r="N26" s="1750" t="s">
        <v>341</v>
      </c>
      <c r="P26" s="453"/>
      <c r="V26" s="464"/>
      <c r="AC26" s="483"/>
    </row>
    <row r="27" spans="1:32" ht="6.75" customHeight="1" thickBot="1">
      <c r="A27" s="482"/>
      <c r="I27" s="453"/>
      <c r="K27" s="499"/>
      <c r="L27" s="500"/>
      <c r="N27" s="1758"/>
      <c r="P27" s="453"/>
      <c r="V27" s="464"/>
      <c r="AC27" s="483"/>
    </row>
    <row r="28" spans="1:32" ht="6.75" customHeight="1" thickTop="1">
      <c r="A28" s="482"/>
      <c r="I28" s="453"/>
      <c r="J28" s="513"/>
      <c r="K28" s="494"/>
      <c r="L28" s="496"/>
      <c r="M28" s="512"/>
      <c r="N28" s="498"/>
      <c r="O28" s="498"/>
      <c r="P28" s="481"/>
      <c r="V28" s="464"/>
      <c r="AC28" s="483"/>
    </row>
    <row r="29" spans="1:32" ht="11.25" customHeight="1">
      <c r="A29" s="482"/>
      <c r="I29" s="453"/>
      <c r="P29" s="453"/>
      <c r="V29" s="464"/>
      <c r="AC29" s="483"/>
    </row>
    <row r="30" spans="1:32" ht="25.5" customHeight="1">
      <c r="A30" s="482"/>
      <c r="P30" s="507"/>
      <c r="V30" s="511"/>
      <c r="AC30" s="483"/>
    </row>
    <row r="31" spans="1:32" ht="6.75" customHeight="1">
      <c r="A31" s="482"/>
      <c r="P31" s="499"/>
      <c r="Q31" s="500"/>
      <c r="R31" s="1755" t="s">
        <v>342</v>
      </c>
      <c r="S31" s="1756"/>
      <c r="T31" s="454"/>
      <c r="U31" s="499"/>
      <c r="V31" s="500"/>
      <c r="W31" s="1755" t="s">
        <v>343</v>
      </c>
      <c r="X31" s="1756"/>
      <c r="Y31" s="1756"/>
      <c r="Z31" s="1756"/>
      <c r="AA31" s="1756"/>
      <c r="AB31" s="1756"/>
      <c r="AC31" s="1757"/>
    </row>
    <row r="32" spans="1:32" ht="6.75" customHeight="1">
      <c r="A32" s="482"/>
      <c r="P32" s="494"/>
      <c r="Q32" s="496"/>
      <c r="R32" s="1755"/>
      <c r="S32" s="1756"/>
      <c r="U32" s="494"/>
      <c r="V32" s="496"/>
      <c r="W32" s="1755"/>
      <c r="X32" s="1756"/>
      <c r="Y32" s="1756"/>
      <c r="Z32" s="1756"/>
      <c r="AA32" s="1756"/>
      <c r="AB32" s="1756"/>
      <c r="AC32" s="1757"/>
    </row>
    <row r="33" spans="1:29" ht="11.25" customHeight="1" thickBot="1">
      <c r="A33" s="482"/>
      <c r="P33" s="506"/>
      <c r="S33" s="1749"/>
      <c r="T33" s="1750"/>
      <c r="V33" s="501"/>
      <c r="AC33" s="483"/>
    </row>
    <row r="34" spans="1:29" ht="15" thickTop="1">
      <c r="A34" s="482"/>
      <c r="O34" s="498"/>
      <c r="P34" s="498"/>
      <c r="Q34" s="498"/>
      <c r="R34" s="498"/>
      <c r="S34" s="514" t="s">
        <v>344</v>
      </c>
      <c r="T34" s="498"/>
      <c r="U34" s="498"/>
      <c r="V34" s="498"/>
      <c r="W34" s="498"/>
      <c r="AC34" s="483"/>
    </row>
    <row r="35" spans="1:29">
      <c r="A35" s="482"/>
      <c r="AC35" s="483"/>
    </row>
    <row r="36" spans="1:29">
      <c r="A36" s="482"/>
      <c r="AC36" s="483"/>
    </row>
    <row r="37" spans="1:29">
      <c r="A37" s="482"/>
      <c r="AC37" s="483"/>
    </row>
    <row r="38" spans="1:29">
      <c r="A38" s="482"/>
      <c r="S38" s="1750"/>
      <c r="T38" s="1750"/>
      <c r="AC38" s="483"/>
    </row>
    <row r="39" spans="1:29">
      <c r="A39" s="482"/>
      <c r="AC39" s="483"/>
    </row>
    <row r="40" spans="1:29">
      <c r="A40" s="494"/>
      <c r="B40" s="495"/>
      <c r="C40" s="495"/>
      <c r="D40" s="495"/>
      <c r="E40" s="495"/>
      <c r="F40" s="495"/>
      <c r="G40" s="495"/>
      <c r="H40" s="495"/>
      <c r="I40" s="495"/>
      <c r="J40" s="495"/>
      <c r="K40" s="495"/>
      <c r="L40" s="495"/>
      <c r="M40" s="495"/>
      <c r="N40" s="495"/>
      <c r="O40" s="495"/>
      <c r="P40" s="495"/>
      <c r="Q40" s="495"/>
      <c r="R40" s="495"/>
      <c r="S40" s="495"/>
      <c r="T40" s="495"/>
      <c r="U40" s="495"/>
      <c r="V40" s="495"/>
      <c r="W40" s="495"/>
      <c r="X40" s="495"/>
      <c r="Y40" s="495"/>
      <c r="Z40" s="495"/>
      <c r="AA40" s="495"/>
      <c r="AB40" s="495"/>
      <c r="AC40" s="581" t="s">
        <v>345</v>
      </c>
    </row>
  </sheetData>
  <sheetProtection algorithmName="SHA-512" hashValue="yGxm27lTepTer6JpHGlEGtgyz2JeKvs6Ju7B+bEfKB16vOFvPuCoZie9Btwg2PpEN0ugZZJpT2bowX5mOpZYdQ==" saltValue="Ie4JGMMHSBYdWT/EDCPZgQ==" spinCount="100000" sheet="1" objects="1" scenarios="1"/>
  <mergeCells count="14">
    <mergeCell ref="S38:T38"/>
    <mergeCell ref="A1:AC1"/>
    <mergeCell ref="R8:S9"/>
    <mergeCell ref="R21:S22"/>
    <mergeCell ref="R31:S32"/>
    <mergeCell ref="W8:AC9"/>
    <mergeCell ref="K2:S2"/>
    <mergeCell ref="AD8:AF8"/>
    <mergeCell ref="S33:T33"/>
    <mergeCell ref="Y20:Y21"/>
    <mergeCell ref="I16:M17"/>
    <mergeCell ref="W31:AC32"/>
    <mergeCell ref="N14:N15"/>
    <mergeCell ref="N26:N27"/>
  </mergeCells>
  <phoneticPr fontId="74" type="noConversion"/>
  <printOptions horizontalCentered="1" verticalCentered="1"/>
  <pageMargins left="0.7" right="0.7" top="0.75" bottom="0.75" header="0.3" footer="0.3"/>
  <pageSetup paperSize="17" orientation="landscape" r:id="rId1"/>
  <headerFooter>
    <oddFooter>&amp;RFilename:&amp;F
Tab:&amp;A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K209"/>
  <sheetViews>
    <sheetView showGridLines="0" zoomScale="115" zoomScaleNormal="115" zoomScaleSheetLayoutView="100" workbookViewId="0">
      <selection sqref="A1:K1"/>
    </sheetView>
  </sheetViews>
  <sheetFormatPr defaultRowHeight="13.2"/>
  <cols>
    <col min="1" max="1" width="1.44140625" customWidth="1"/>
    <col min="2" max="2" width="9.88671875" customWidth="1"/>
    <col min="3" max="3" width="11.44140625" customWidth="1"/>
    <col min="4" max="4" width="17.44140625" customWidth="1"/>
    <col min="5" max="14" width="9.88671875" customWidth="1"/>
  </cols>
  <sheetData>
    <row r="1" spans="1:11" ht="21">
      <c r="A1" s="1746" t="s">
        <v>346</v>
      </c>
      <c r="B1" s="1746"/>
      <c r="C1" s="1746"/>
      <c r="D1" s="1746"/>
      <c r="E1" s="1746"/>
      <c r="F1" s="1746"/>
      <c r="G1" s="1746"/>
      <c r="H1" s="1746"/>
      <c r="I1" s="1746"/>
      <c r="J1" s="1746"/>
      <c r="K1" s="1746"/>
    </row>
    <row r="4" spans="1:11" ht="16.2" thickBot="1">
      <c r="B4" s="1775" t="s">
        <v>347</v>
      </c>
      <c r="C4" s="1775"/>
      <c r="D4" s="1775"/>
      <c r="E4" s="1775"/>
      <c r="F4" s="1775"/>
      <c r="G4" s="1775"/>
      <c r="H4" s="1775"/>
      <c r="I4" s="1775"/>
    </row>
    <row r="5" spans="1:11" ht="13.8" thickTop="1">
      <c r="B5" s="1602"/>
      <c r="C5" s="1602"/>
      <c r="D5" s="1602"/>
      <c r="E5" s="300" t="s">
        <v>348</v>
      </c>
      <c r="F5" s="300" t="s">
        <v>349</v>
      </c>
      <c r="G5" s="300" t="s">
        <v>350</v>
      </c>
      <c r="H5" s="300" t="s">
        <v>351</v>
      </c>
      <c r="I5" s="300" t="s">
        <v>352</v>
      </c>
    </row>
    <row r="6" spans="1:11">
      <c r="B6" s="1776"/>
      <c r="C6" s="1776"/>
      <c r="D6" s="1777"/>
      <c r="E6" s="1116"/>
      <c r="F6" s="1116"/>
      <c r="G6" s="1116"/>
      <c r="H6" s="1116"/>
      <c r="I6" s="1116"/>
    </row>
    <row r="7" spans="1:11">
      <c r="B7" s="1776"/>
      <c r="C7" s="1776"/>
      <c r="D7" s="1777"/>
      <c r="E7" s="1116"/>
      <c r="F7" s="1116"/>
      <c r="G7" s="1116"/>
      <c r="H7" s="1116"/>
      <c r="I7" s="1116"/>
    </row>
    <row r="8" spans="1:11">
      <c r="A8" s="670"/>
      <c r="B8" s="1776"/>
      <c r="C8" s="1776"/>
      <c r="D8" s="1777"/>
      <c r="E8" s="1116"/>
      <c r="F8" s="1116"/>
      <c r="G8" s="1116"/>
      <c r="H8" s="1116"/>
      <c r="I8" s="1116"/>
      <c r="K8" s="670"/>
    </row>
    <row r="9" spans="1:11">
      <c r="B9" s="1776"/>
      <c r="C9" s="1776"/>
      <c r="D9" s="1777"/>
      <c r="E9" s="1116"/>
      <c r="F9" s="1116"/>
      <c r="G9" s="1116"/>
      <c r="H9" s="1116"/>
      <c r="I9" s="1116"/>
    </row>
    <row r="10" spans="1:11">
      <c r="B10" s="1778"/>
      <c r="C10" s="1778"/>
      <c r="D10" s="1779"/>
      <c r="E10" s="1116"/>
      <c r="F10" s="1116"/>
      <c r="G10" s="1116"/>
      <c r="H10" s="1116"/>
      <c r="I10" s="1116"/>
      <c r="J10" s="1049"/>
    </row>
    <row r="11" spans="1:11">
      <c r="B11" s="1784" t="str">
        <f>"TOTAL- "&amp;'1) Data Entry'!G3&amp;"-"&amp;'1) Data Entry'!M3</f>
        <v>TOTAL- -</v>
      </c>
      <c r="C11" s="1784"/>
      <c r="D11" s="1784"/>
      <c r="E11" s="1119">
        <f>SUM(E6:E10)</f>
        <v>0</v>
      </c>
      <c r="F11" s="301">
        <f t="shared" ref="F11:I11" si="0">SUM(F6:F10)</f>
        <v>0</v>
      </c>
      <c r="G11" s="301">
        <f t="shared" si="0"/>
        <v>0</v>
      </c>
      <c r="H11" s="301">
        <f t="shared" si="0"/>
        <v>0</v>
      </c>
      <c r="I11" s="301">
        <f t="shared" si="0"/>
        <v>0</v>
      </c>
    </row>
    <row r="12" spans="1:11">
      <c r="B12" s="39"/>
      <c r="C12" s="39"/>
      <c r="D12" s="39"/>
      <c r="E12" s="116"/>
      <c r="F12" s="116"/>
      <c r="G12" s="116"/>
      <c r="H12" s="116"/>
      <c r="I12" s="116"/>
    </row>
    <row r="13" spans="1:11" ht="16.2" thickBot="1">
      <c r="B13" s="1775" t="s">
        <v>353</v>
      </c>
      <c r="C13" s="1775"/>
      <c r="D13" s="1775"/>
      <c r="E13" s="1775"/>
      <c r="F13" s="1775"/>
      <c r="G13" s="1775"/>
      <c r="H13" s="1775"/>
      <c r="I13" s="1775"/>
    </row>
    <row r="14" spans="1:11" ht="13.8" thickTop="1">
      <c r="B14" s="1602"/>
      <c r="C14" s="1602"/>
      <c r="D14" s="1602"/>
      <c r="E14" s="300" t="s">
        <v>348</v>
      </c>
      <c r="F14" s="300" t="s">
        <v>349</v>
      </c>
      <c r="G14" s="300" t="s">
        <v>350</v>
      </c>
      <c r="H14" s="300" t="s">
        <v>351</v>
      </c>
      <c r="I14" s="300" t="s">
        <v>352</v>
      </c>
    </row>
    <row r="15" spans="1:11">
      <c r="B15" s="1770"/>
      <c r="C15" s="1770"/>
      <c r="D15" s="1771"/>
      <c r="E15" s="1115"/>
      <c r="F15" s="1116"/>
      <c r="G15" s="1116"/>
      <c r="H15" s="1116"/>
      <c r="I15" s="1116"/>
    </row>
    <row r="16" spans="1:11">
      <c r="B16" s="1770"/>
      <c r="C16" s="1770"/>
      <c r="D16" s="1771"/>
      <c r="E16" s="1116"/>
      <c r="F16" s="1116"/>
      <c r="G16" s="1116"/>
      <c r="H16" s="1116"/>
      <c r="I16" s="1116"/>
    </row>
    <row r="17" spans="2:10">
      <c r="B17" s="1770"/>
      <c r="C17" s="1770"/>
      <c r="D17" s="1771"/>
      <c r="E17" s="1116"/>
      <c r="F17" s="1116"/>
      <c r="G17" s="1116"/>
      <c r="H17" s="1116"/>
      <c r="I17" s="1116"/>
    </row>
    <row r="18" spans="2:10">
      <c r="B18" s="1770"/>
      <c r="C18" s="1770"/>
      <c r="D18" s="1771"/>
      <c r="E18" s="1116"/>
      <c r="F18" s="1116"/>
      <c r="G18" s="1116"/>
      <c r="H18" s="1116"/>
      <c r="I18" s="1116"/>
    </row>
    <row r="19" spans="2:10">
      <c r="B19" s="1772"/>
      <c r="C19" s="1772"/>
      <c r="D19" s="1771"/>
      <c r="E19" s="1116"/>
      <c r="F19" s="1116"/>
      <c r="G19" s="1116"/>
      <c r="H19" s="1116"/>
      <c r="I19" s="1116"/>
      <c r="J19" s="1049"/>
    </row>
    <row r="20" spans="2:10">
      <c r="B20" s="1774" t="str">
        <f>"TOTAL- "&amp;'1) Data Entry'!$M$3&amp;"-"</f>
        <v>TOTAL- -</v>
      </c>
      <c r="C20" s="1774"/>
      <c r="D20" s="1107"/>
      <c r="E20" s="301">
        <f>SUM(E15:E19)</f>
        <v>0</v>
      </c>
      <c r="F20" s="301">
        <f>SUM(F15:F19)</f>
        <v>0</v>
      </c>
      <c r="G20" s="301">
        <f>SUM(G15:G19)</f>
        <v>0</v>
      </c>
      <c r="H20" s="301">
        <f>SUM(H15:H19)</f>
        <v>0</v>
      </c>
      <c r="I20" s="301">
        <f>SUM(I15:I19)</f>
        <v>0</v>
      </c>
    </row>
    <row r="21" spans="2:10" hidden="1">
      <c r="B21" s="98"/>
      <c r="C21" s="130" t="s">
        <v>354</v>
      </c>
      <c r="D21" s="98"/>
      <c r="E21" s="116"/>
      <c r="F21" s="116"/>
      <c r="G21" s="116"/>
      <c r="H21" s="302"/>
    </row>
    <row r="22" spans="2:10" hidden="1">
      <c r="B22" s="1602"/>
      <c r="C22" s="1602"/>
      <c r="D22" s="1602"/>
      <c r="E22" s="300"/>
      <c r="F22" s="300"/>
      <c r="G22" s="300"/>
      <c r="H22" s="300"/>
      <c r="I22" s="300"/>
    </row>
    <row r="23" spans="2:10" hidden="1">
      <c r="B23" s="1770"/>
      <c r="C23" s="1770"/>
      <c r="D23" s="1771"/>
      <c r="E23" s="1115"/>
      <c r="F23" s="1116"/>
      <c r="G23" s="1116"/>
      <c r="H23" s="1116"/>
      <c r="I23" s="1116"/>
    </row>
    <row r="24" spans="2:10" hidden="1">
      <c r="B24" s="1770"/>
      <c r="C24" s="1770"/>
      <c r="D24" s="1771"/>
      <c r="E24" s="1116"/>
      <c r="F24" s="1116"/>
      <c r="G24" s="1116"/>
      <c r="H24" s="1116"/>
      <c r="I24" s="1116"/>
    </row>
    <row r="25" spans="2:10" hidden="1">
      <c r="B25" s="1770"/>
      <c r="C25" s="1770"/>
      <c r="D25" s="1771"/>
      <c r="E25" s="1116"/>
      <c r="F25" s="1116"/>
      <c r="G25" s="1116"/>
      <c r="H25" s="1116"/>
      <c r="I25" s="1116"/>
    </row>
    <row r="26" spans="2:10" hidden="1">
      <c r="B26" s="1770"/>
      <c r="C26" s="1770"/>
      <c r="D26" s="1771"/>
      <c r="E26" s="1116"/>
      <c r="F26" s="1116"/>
      <c r="G26" s="1116"/>
      <c r="H26" s="1116"/>
      <c r="I26" s="1116"/>
    </row>
    <row r="27" spans="2:10" hidden="1">
      <c r="B27" s="1772"/>
      <c r="C27" s="1772"/>
      <c r="D27" s="1773"/>
      <c r="E27" s="1116"/>
      <c r="F27" s="1116"/>
      <c r="G27" s="1116"/>
      <c r="H27" s="1116"/>
      <c r="I27" s="1116"/>
      <c r="J27" s="1049"/>
    </row>
    <row r="28" spans="2:10" ht="15" hidden="1" customHeight="1">
      <c r="B28" s="1774" t="str">
        <f>IF('1) Data Entry'!E68="","Not Used","TOTAL- "&amp;'1) Data Entry'!$M$3&amp;"-")</f>
        <v>Not Used</v>
      </c>
      <c r="C28" s="1774"/>
      <c r="D28" s="1107"/>
      <c r="E28" s="301">
        <f>SUM(E23:E27)</f>
        <v>0</v>
      </c>
      <c r="F28" s="301">
        <f>SUM(F23:F27)</f>
        <v>0</v>
      </c>
      <c r="G28" s="301">
        <f>SUM(G23:G27)</f>
        <v>0</v>
      </c>
      <c r="H28" s="301">
        <f>SUM(H23:H27)</f>
        <v>0</v>
      </c>
      <c r="I28" s="301">
        <f>SUM(I23:I27)</f>
        <v>0</v>
      </c>
    </row>
    <row r="29" spans="2:10" ht="12.75" hidden="1" customHeight="1">
      <c r="C29" s="130" t="s">
        <v>354</v>
      </c>
    </row>
    <row r="30" spans="2:10" ht="12.75" hidden="1" customHeight="1">
      <c r="B30" s="1602"/>
      <c r="C30" s="1602"/>
      <c r="D30" s="1602"/>
      <c r="E30" s="300"/>
      <c r="F30" s="300"/>
      <c r="G30" s="300"/>
      <c r="H30" s="300"/>
      <c r="I30" s="300"/>
    </row>
    <row r="31" spans="2:10" ht="12.75" hidden="1" customHeight="1">
      <c r="B31" s="1770"/>
      <c r="C31" s="1770"/>
      <c r="D31" s="1771"/>
      <c r="E31" s="1115"/>
      <c r="F31" s="1116"/>
      <c r="G31" s="1116"/>
      <c r="H31" s="1116"/>
      <c r="I31" s="1116"/>
    </row>
    <row r="32" spans="2:10" ht="12.75" hidden="1" customHeight="1">
      <c r="B32" s="1770"/>
      <c r="C32" s="1770"/>
      <c r="D32" s="1771"/>
      <c r="E32" s="1116"/>
      <c r="F32" s="1116"/>
      <c r="G32" s="1116"/>
      <c r="H32" s="1116"/>
      <c r="I32" s="1116"/>
    </row>
    <row r="33" spans="2:9" ht="12.75" hidden="1" customHeight="1">
      <c r="B33" s="1770"/>
      <c r="C33" s="1770"/>
      <c r="D33" s="1771"/>
      <c r="E33" s="1116"/>
      <c r="F33" s="1116"/>
      <c r="G33" s="1116"/>
      <c r="H33" s="1116"/>
      <c r="I33" s="1116"/>
    </row>
    <row r="34" spans="2:9" ht="12.75" hidden="1" customHeight="1">
      <c r="B34" s="1770"/>
      <c r="C34" s="1770"/>
      <c r="D34" s="1771"/>
      <c r="E34" s="1116"/>
      <c r="F34" s="1116"/>
      <c r="G34" s="1116"/>
      <c r="H34" s="1116"/>
      <c r="I34" s="1116"/>
    </row>
    <row r="35" spans="2:9" ht="12.75" hidden="1" customHeight="1">
      <c r="B35" s="1772"/>
      <c r="C35" s="1772"/>
      <c r="D35" s="1773"/>
      <c r="E35" s="1116"/>
      <c r="F35" s="1116"/>
      <c r="G35" s="1116"/>
      <c r="H35" s="1116"/>
      <c r="I35" s="1116"/>
    </row>
    <row r="36" spans="2:9" ht="12.75" hidden="1" customHeight="1">
      <c r="B36" s="1774" t="str">
        <f>IF('1) Data Entry'!E75="","Not Used","TOTAL- "&amp;'1) Data Entry'!$M$3&amp;"-")</f>
        <v>Not Used</v>
      </c>
      <c r="C36" s="1774"/>
      <c r="D36" s="1052"/>
      <c r="E36" s="301">
        <f>SUM(E31:E35)</f>
        <v>0</v>
      </c>
      <c r="F36" s="301">
        <f>SUM(F31:F35)</f>
        <v>0</v>
      </c>
      <c r="G36" s="301">
        <f>SUM(G31:G35)</f>
        <v>0</v>
      </c>
      <c r="H36" s="301">
        <f>SUM(H31:H35)</f>
        <v>0</v>
      </c>
      <c r="I36" s="301">
        <f>SUM(I31:I35)</f>
        <v>0</v>
      </c>
    </row>
    <row r="37" spans="2:9" ht="12.75" hidden="1" customHeight="1">
      <c r="C37" s="130" t="s">
        <v>354</v>
      </c>
    </row>
    <row r="38" spans="2:9" ht="12.75" hidden="1" customHeight="1">
      <c r="B38" s="1602"/>
      <c r="C38" s="1602"/>
      <c r="D38" s="1602"/>
      <c r="E38" s="300" t="s">
        <v>348</v>
      </c>
      <c r="F38" s="300" t="s">
        <v>349</v>
      </c>
      <c r="G38" s="300" t="s">
        <v>350</v>
      </c>
      <c r="H38" s="300" t="s">
        <v>351</v>
      </c>
      <c r="I38" s="300" t="s">
        <v>352</v>
      </c>
    </row>
    <row r="39" spans="2:9" ht="12.75" hidden="1" customHeight="1">
      <c r="B39" s="1770"/>
      <c r="C39" s="1770"/>
      <c r="D39" s="1771"/>
      <c r="E39" s="1115"/>
      <c r="F39" s="1116"/>
      <c r="G39" s="1116"/>
      <c r="H39" s="1116"/>
      <c r="I39" s="1116"/>
    </row>
    <row r="40" spans="2:9" hidden="1">
      <c r="B40" s="1770"/>
      <c r="C40" s="1770"/>
      <c r="D40" s="1771"/>
      <c r="E40" s="1116"/>
      <c r="F40" s="1116"/>
      <c r="G40" s="1116"/>
      <c r="H40" s="1116"/>
      <c r="I40" s="1116"/>
    </row>
    <row r="41" spans="2:9" hidden="1">
      <c r="B41" s="1770"/>
      <c r="C41" s="1770"/>
      <c r="D41" s="1771"/>
      <c r="E41" s="1116"/>
      <c r="F41" s="1116"/>
      <c r="G41" s="1116"/>
      <c r="H41" s="1116"/>
      <c r="I41" s="1116"/>
    </row>
    <row r="42" spans="2:9" hidden="1">
      <c r="B42" s="1770"/>
      <c r="C42" s="1770"/>
      <c r="D42" s="1771"/>
      <c r="E42" s="1116"/>
      <c r="F42" s="1116"/>
      <c r="G42" s="1116"/>
      <c r="H42" s="1116"/>
      <c r="I42" s="1116"/>
    </row>
    <row r="43" spans="2:9" hidden="1">
      <c r="B43" s="1772"/>
      <c r="C43" s="1772"/>
      <c r="D43" s="1773"/>
      <c r="E43" s="1116"/>
      <c r="F43" s="1116"/>
      <c r="G43" s="1116"/>
      <c r="H43" s="1116"/>
      <c r="I43" s="1116"/>
    </row>
    <row r="44" spans="2:9" hidden="1">
      <c r="B44" s="1774" t="str">
        <f>IF('1) Data Entry'!E82="","Not Used","TOTAL- "&amp;'1) Data Entry'!$M$3&amp;"-")</f>
        <v>Not Used</v>
      </c>
      <c r="C44" s="1774"/>
      <c r="D44" s="1052"/>
      <c r="E44" s="301">
        <f>SUM(E39:E43)</f>
        <v>0</v>
      </c>
      <c r="F44" s="301">
        <f>SUM(F39:F43)</f>
        <v>0</v>
      </c>
      <c r="G44" s="301">
        <f>SUM(G39:G43)</f>
        <v>0</v>
      </c>
      <c r="H44" s="301">
        <f>SUM(H39:H43)</f>
        <v>0</v>
      </c>
      <c r="I44" s="301">
        <f>SUM(I39:I43)</f>
        <v>0</v>
      </c>
    </row>
    <row r="45" spans="2:9" hidden="1">
      <c r="C45" s="130" t="s">
        <v>354</v>
      </c>
    </row>
    <row r="46" spans="2:9" hidden="1">
      <c r="B46" s="1602"/>
      <c r="C46" s="1602"/>
      <c r="D46" s="1602"/>
      <c r="E46" s="300" t="s">
        <v>348</v>
      </c>
      <c r="F46" s="300" t="s">
        <v>349</v>
      </c>
      <c r="G46" s="300" t="s">
        <v>350</v>
      </c>
      <c r="H46" s="300" t="s">
        <v>351</v>
      </c>
      <c r="I46" s="300" t="s">
        <v>352</v>
      </c>
    </row>
    <row r="47" spans="2:9" hidden="1">
      <c r="B47" s="1770"/>
      <c r="C47" s="1770"/>
      <c r="D47" s="1771"/>
      <c r="E47" s="1050"/>
      <c r="F47" s="1051"/>
      <c r="G47" s="1051"/>
      <c r="H47" s="1051"/>
      <c r="I47" s="1051"/>
    </row>
    <row r="48" spans="2:9" hidden="1">
      <c r="B48" s="1770"/>
      <c r="C48" s="1770"/>
      <c r="D48" s="1771"/>
      <c r="E48" s="1115"/>
      <c r="F48" s="1116"/>
      <c r="G48" s="1116"/>
      <c r="H48" s="1116"/>
      <c r="I48" s="1116"/>
    </row>
    <row r="49" spans="2:9" hidden="1">
      <c r="B49" s="1770"/>
      <c r="C49" s="1770"/>
      <c r="D49" s="1771"/>
      <c r="E49" s="1116"/>
      <c r="F49" s="1116"/>
      <c r="G49" s="1116"/>
      <c r="H49" s="1116"/>
      <c r="I49" s="1116"/>
    </row>
    <row r="50" spans="2:9" hidden="1">
      <c r="B50" s="1770"/>
      <c r="C50" s="1770"/>
      <c r="D50" s="1771"/>
      <c r="E50" s="1116"/>
      <c r="F50" s="1116"/>
      <c r="G50" s="1116"/>
      <c r="H50" s="1116"/>
      <c r="I50" s="1116"/>
    </row>
    <row r="51" spans="2:9" hidden="1">
      <c r="B51" s="1772"/>
      <c r="C51" s="1772"/>
      <c r="D51" s="1773"/>
      <c r="E51" s="1116"/>
      <c r="F51" s="1116"/>
      <c r="G51" s="1116"/>
      <c r="H51" s="1116"/>
      <c r="I51" s="1116"/>
    </row>
    <row r="52" spans="2:9" hidden="1">
      <c r="B52" s="1774" t="str">
        <f>IF('1) Data Entry'!E89="","Not Used","TOTAL- "&amp;'1) Data Entry'!$M$3&amp;"-")</f>
        <v>Not Used</v>
      </c>
      <c r="C52" s="1774"/>
      <c r="D52" s="1052"/>
      <c r="E52" s="301">
        <f>SUM(E47:E51)</f>
        <v>0</v>
      </c>
      <c r="F52" s="301">
        <f>SUM(F47:F51)</f>
        <v>0</v>
      </c>
      <c r="G52" s="301">
        <f>SUM(G47:G51)</f>
        <v>0</v>
      </c>
      <c r="H52" s="301">
        <f>SUM(H47:H51)</f>
        <v>0</v>
      </c>
      <c r="I52" s="301">
        <f>SUM(I47:I51)</f>
        <v>0</v>
      </c>
    </row>
    <row r="53" spans="2:9" hidden="1">
      <c r="C53" s="130" t="s">
        <v>354</v>
      </c>
    </row>
    <row r="54" spans="2:9" hidden="1">
      <c r="B54" s="1602"/>
      <c r="C54" s="1602"/>
      <c r="D54" s="1602"/>
      <c r="E54" s="300" t="s">
        <v>348</v>
      </c>
      <c r="F54" s="300" t="s">
        <v>349</v>
      </c>
      <c r="G54" s="300" t="s">
        <v>350</v>
      </c>
      <c r="H54" s="300" t="s">
        <v>351</v>
      </c>
      <c r="I54" s="300" t="s">
        <v>352</v>
      </c>
    </row>
    <row r="55" spans="2:9" hidden="1">
      <c r="B55" s="1770"/>
      <c r="C55" s="1770"/>
      <c r="D55" s="1771"/>
      <c r="E55" s="1115"/>
      <c r="F55" s="1116"/>
      <c r="G55" s="1116"/>
      <c r="H55" s="1116"/>
      <c r="I55" s="1116"/>
    </row>
    <row r="56" spans="2:9" hidden="1">
      <c r="B56" s="1770"/>
      <c r="C56" s="1770"/>
      <c r="D56" s="1771"/>
      <c r="E56" s="1116"/>
      <c r="F56" s="1116"/>
      <c r="G56" s="1116"/>
      <c r="H56" s="1116"/>
      <c r="I56" s="1116"/>
    </row>
    <row r="57" spans="2:9" hidden="1">
      <c r="B57" s="1770"/>
      <c r="C57" s="1770"/>
      <c r="D57" s="1771"/>
      <c r="E57" s="1116"/>
      <c r="F57" s="1116"/>
      <c r="G57" s="1116"/>
      <c r="H57" s="1116"/>
      <c r="I57" s="1116"/>
    </row>
    <row r="58" spans="2:9" hidden="1">
      <c r="B58" s="1770"/>
      <c r="C58" s="1770"/>
      <c r="D58" s="1771"/>
      <c r="E58" s="1116"/>
      <c r="F58" s="1116"/>
      <c r="G58" s="1116"/>
      <c r="H58" s="1116"/>
      <c r="I58" s="1116"/>
    </row>
    <row r="59" spans="2:9" hidden="1">
      <c r="B59" s="1772"/>
      <c r="C59" s="1772"/>
      <c r="D59" s="1773"/>
      <c r="E59" s="1115"/>
      <c r="F59" s="1116"/>
      <c r="G59" s="1116"/>
      <c r="H59" s="1116"/>
      <c r="I59" s="1116"/>
    </row>
    <row r="60" spans="2:9" hidden="1">
      <c r="B60" s="1774" t="str">
        <f>IF('1) Data Entry'!E96="","Not Used","TOTAL- "&amp;'1) Data Entry'!$M$3&amp;"-")</f>
        <v>Not Used</v>
      </c>
      <c r="C60" s="1774"/>
      <c r="D60" s="1052"/>
      <c r="E60" s="301">
        <f>SUM(E55:E59)</f>
        <v>0</v>
      </c>
      <c r="F60" s="301">
        <f>SUM(F55:F59)</f>
        <v>0</v>
      </c>
      <c r="G60" s="301">
        <f>SUM(G55:G59)</f>
        <v>0</v>
      </c>
      <c r="H60" s="301">
        <f>SUM(H55:H59)</f>
        <v>0</v>
      </c>
      <c r="I60" s="301">
        <f>SUM(I55:I59)</f>
        <v>0</v>
      </c>
    </row>
    <row r="61" spans="2:9" hidden="1">
      <c r="C61" s="130" t="s">
        <v>354</v>
      </c>
    </row>
    <row r="62" spans="2:9" hidden="1">
      <c r="B62" s="1602"/>
      <c r="C62" s="1602"/>
      <c r="D62" s="1602"/>
      <c r="E62" s="300" t="s">
        <v>348</v>
      </c>
      <c r="F62" s="300" t="s">
        <v>349</v>
      </c>
      <c r="G62" s="300" t="s">
        <v>350</v>
      </c>
      <c r="H62" s="300" t="s">
        <v>351</v>
      </c>
      <c r="I62" s="300" t="s">
        <v>352</v>
      </c>
    </row>
    <row r="63" spans="2:9" hidden="1">
      <c r="B63" s="1770"/>
      <c r="C63" s="1770"/>
      <c r="D63" s="1771"/>
      <c r="E63" s="1115"/>
      <c r="F63" s="1116"/>
      <c r="G63" s="1116"/>
      <c r="H63" s="1116"/>
      <c r="I63" s="1116"/>
    </row>
    <row r="64" spans="2:9" hidden="1">
      <c r="B64" s="1770"/>
      <c r="C64" s="1770"/>
      <c r="D64" s="1771"/>
      <c r="E64" s="1116"/>
      <c r="F64" s="1116"/>
      <c r="G64" s="1116"/>
      <c r="H64" s="1116"/>
      <c r="I64" s="1116"/>
    </row>
    <row r="65" spans="2:9" hidden="1">
      <c r="B65" s="1770"/>
      <c r="C65" s="1770"/>
      <c r="D65" s="1771"/>
      <c r="E65" s="1116"/>
      <c r="F65" s="1116"/>
      <c r="G65" s="1116"/>
      <c r="H65" s="1116"/>
      <c r="I65" s="1116"/>
    </row>
    <row r="66" spans="2:9" hidden="1">
      <c r="B66" s="1770"/>
      <c r="C66" s="1770"/>
      <c r="D66" s="1771"/>
      <c r="E66" s="1116"/>
      <c r="F66" s="1116"/>
      <c r="G66" s="1116"/>
      <c r="H66" s="1116"/>
      <c r="I66" s="1116"/>
    </row>
    <row r="67" spans="2:9" hidden="1">
      <c r="B67" s="1772"/>
      <c r="C67" s="1772"/>
      <c r="D67" s="1773"/>
      <c r="E67" s="1115"/>
      <c r="F67" s="1116"/>
      <c r="G67" s="1116"/>
      <c r="H67" s="1116"/>
      <c r="I67" s="1116"/>
    </row>
    <row r="68" spans="2:9" hidden="1">
      <c r="B68" s="1774" t="str">
        <f>IF('1) Data Entry'!E103="","Not Used","TOTAL- "&amp;'1) Data Entry'!$M$3&amp;"-")</f>
        <v>Not Used</v>
      </c>
      <c r="C68" s="1774"/>
      <c r="D68" s="1052"/>
      <c r="E68" s="301">
        <f>SUM(E63:E67)</f>
        <v>0</v>
      </c>
      <c r="F68" s="301">
        <f>SUM(F63:F67)</f>
        <v>0</v>
      </c>
      <c r="G68" s="301">
        <f>SUM(G63:G67)</f>
        <v>0</v>
      </c>
      <c r="H68" s="301">
        <f>SUM(H63:H67)</f>
        <v>0</v>
      </c>
      <c r="I68" s="301">
        <f>SUM(I63:I67)</f>
        <v>0</v>
      </c>
    </row>
    <row r="69" spans="2:9" hidden="1">
      <c r="C69" s="130" t="s">
        <v>354</v>
      </c>
    </row>
    <row r="70" spans="2:9" hidden="1">
      <c r="B70" s="1602"/>
      <c r="C70" s="1602"/>
      <c r="D70" s="1602"/>
      <c r="E70" s="300" t="s">
        <v>348</v>
      </c>
      <c r="F70" s="300" t="s">
        <v>349</v>
      </c>
      <c r="G70" s="300" t="s">
        <v>350</v>
      </c>
      <c r="H70" s="300" t="s">
        <v>351</v>
      </c>
      <c r="I70" s="300" t="s">
        <v>352</v>
      </c>
    </row>
    <row r="71" spans="2:9" hidden="1">
      <c r="B71" s="1770"/>
      <c r="C71" s="1770"/>
      <c r="D71" s="1771"/>
      <c r="E71" s="1115"/>
      <c r="F71" s="1116"/>
      <c r="G71" s="1116"/>
      <c r="H71" s="1116"/>
      <c r="I71" s="1116"/>
    </row>
    <row r="72" spans="2:9" hidden="1">
      <c r="B72" s="1770"/>
      <c r="C72" s="1770"/>
      <c r="D72" s="1771"/>
      <c r="E72" s="1116"/>
      <c r="F72" s="1116"/>
      <c r="G72" s="1116"/>
      <c r="H72" s="1116"/>
      <c r="I72" s="1116"/>
    </row>
    <row r="73" spans="2:9" hidden="1">
      <c r="B73" s="1770"/>
      <c r="C73" s="1770"/>
      <c r="D73" s="1771"/>
      <c r="E73" s="1116"/>
      <c r="F73" s="1116"/>
      <c r="G73" s="1116"/>
      <c r="H73" s="1116"/>
      <c r="I73" s="1116"/>
    </row>
    <row r="74" spans="2:9" hidden="1">
      <c r="B74" s="1770"/>
      <c r="C74" s="1770"/>
      <c r="D74" s="1771"/>
      <c r="E74" s="1116"/>
      <c r="F74" s="1116"/>
      <c r="G74" s="1116"/>
      <c r="H74" s="1116"/>
      <c r="I74" s="1116"/>
    </row>
    <row r="75" spans="2:9" hidden="1">
      <c r="B75" s="1772"/>
      <c r="C75" s="1772"/>
      <c r="D75" s="1773"/>
      <c r="E75" s="1115"/>
      <c r="F75" s="1116"/>
      <c r="G75" s="1116"/>
      <c r="H75" s="1116"/>
      <c r="I75" s="1116"/>
    </row>
    <row r="76" spans="2:9" hidden="1">
      <c r="B76" s="1774" t="str">
        <f>IF('1) Data Entry'!E110="","Not Used","TOTAL- "&amp;'1) Data Entry'!$M$3&amp;"-")</f>
        <v>Not Used</v>
      </c>
      <c r="C76" s="1774"/>
      <c r="D76" s="1052"/>
      <c r="E76" s="301">
        <f>SUM(E71:E75)</f>
        <v>0</v>
      </c>
      <c r="F76" s="301">
        <f>SUM(F71:F75)</f>
        <v>0</v>
      </c>
      <c r="G76" s="301">
        <f>SUM(G71:G75)</f>
        <v>0</v>
      </c>
      <c r="H76" s="301">
        <f>SUM(H71:H75)</f>
        <v>0</v>
      </c>
      <c r="I76" s="301">
        <f>SUM(I71:I75)</f>
        <v>0</v>
      </c>
    </row>
    <row r="77" spans="2:9" hidden="1">
      <c r="C77" s="130" t="s">
        <v>354</v>
      </c>
    </row>
    <row r="78" spans="2:9" hidden="1"/>
    <row r="79" spans="2:9" ht="16.2" hidden="1" thickBot="1">
      <c r="B79" s="1775" t="s">
        <v>355</v>
      </c>
      <c r="C79" s="1775"/>
      <c r="D79" s="1775"/>
      <c r="E79" s="1775"/>
      <c r="F79" s="1775"/>
      <c r="G79" s="1775"/>
      <c r="H79" s="1775"/>
      <c r="I79" s="1775"/>
    </row>
    <row r="80" spans="2:9" ht="26.25" hidden="1" customHeight="1" thickTop="1">
      <c r="B80" s="1174"/>
      <c r="C80" s="910" t="s">
        <v>356</v>
      </c>
      <c r="D80" s="1781" t="s">
        <v>357</v>
      </c>
      <c r="E80" s="300" t="s">
        <v>348</v>
      </c>
      <c r="F80" s="300" t="s">
        <v>349</v>
      </c>
      <c r="G80" s="300" t="s">
        <v>350</v>
      </c>
      <c r="H80" s="300" t="s">
        <v>351</v>
      </c>
      <c r="I80" s="300" t="s">
        <v>352</v>
      </c>
    </row>
    <row r="81" spans="2:9" hidden="1">
      <c r="D81" s="1782"/>
      <c r="E81" s="1115"/>
      <c r="F81" s="1116"/>
      <c r="G81" s="1116"/>
      <c r="H81" s="1116"/>
      <c r="I81" s="1116"/>
    </row>
    <row r="82" spans="2:9" hidden="1">
      <c r="B82" s="1770"/>
      <c r="C82" s="1770"/>
      <c r="D82" s="1771"/>
      <c r="E82" s="1116"/>
      <c r="F82" s="1116"/>
      <c r="G82" s="1116"/>
      <c r="H82" s="1116"/>
      <c r="I82" s="1116"/>
    </row>
    <row r="83" spans="2:9" hidden="1">
      <c r="B83" s="1770"/>
      <c r="C83" s="1770"/>
      <c r="D83" s="1771"/>
      <c r="E83" s="1116"/>
      <c r="F83" s="1116"/>
      <c r="G83" s="1116"/>
      <c r="H83" s="1116"/>
      <c r="I83" s="1116"/>
    </row>
    <row r="84" spans="2:9" hidden="1">
      <c r="B84" s="1770"/>
      <c r="C84" s="1770"/>
      <c r="D84" s="1771"/>
      <c r="E84" s="1116"/>
      <c r="F84" s="1116"/>
      <c r="G84" s="1116"/>
      <c r="H84" s="1116"/>
      <c r="I84" s="1116"/>
    </row>
    <row r="85" spans="2:9" hidden="1">
      <c r="B85" s="1772"/>
      <c r="C85" s="1772"/>
      <c r="D85" s="1773"/>
      <c r="E85" s="1115"/>
      <c r="F85" s="1116"/>
      <c r="G85" s="1116"/>
      <c r="H85" s="1116"/>
      <c r="I85" s="1116"/>
    </row>
    <row r="86" spans="2:9" hidden="1">
      <c r="B86" s="909" t="str">
        <f>IF('1) Data Entry'!E121="","Not Used","TOTAL- ")</f>
        <v>Not Used</v>
      </c>
      <c r="C86" s="1052"/>
      <c r="D86" s="1100"/>
      <c r="E86" s="301">
        <f>SUM(E81:E85)</f>
        <v>0</v>
      </c>
      <c r="F86" s="301">
        <f>SUM(F81:F85)</f>
        <v>0</v>
      </c>
      <c r="G86" s="301">
        <f>SUM(G81:G85)</f>
        <v>0</v>
      </c>
      <c r="H86" s="301">
        <f>SUM(H81:H85)</f>
        <v>0</v>
      </c>
      <c r="I86" s="301">
        <f>SUM(I81:I85)</f>
        <v>0</v>
      </c>
    </row>
    <row r="87" spans="2:9" hidden="1">
      <c r="B87" s="1783"/>
      <c r="C87" s="1783"/>
      <c r="D87" s="1783"/>
    </row>
    <row r="88" spans="2:9" hidden="1">
      <c r="B88" s="1780"/>
      <c r="C88" s="1780"/>
      <c r="D88" s="1780"/>
      <c r="E88" s="300" t="s">
        <v>348</v>
      </c>
      <c r="F88" s="300" t="s">
        <v>349</v>
      </c>
      <c r="G88" s="300" t="s">
        <v>350</v>
      </c>
      <c r="H88" s="300" t="s">
        <v>351</v>
      </c>
      <c r="I88" s="300" t="s">
        <v>352</v>
      </c>
    </row>
    <row r="89" spans="2:9" hidden="1">
      <c r="B89" s="1770"/>
      <c r="C89" s="1770"/>
      <c r="D89" s="1771"/>
      <c r="E89" s="1115"/>
      <c r="F89" s="1116"/>
      <c r="G89" s="1116"/>
      <c r="H89" s="1116"/>
      <c r="I89" s="1116"/>
    </row>
    <row r="90" spans="2:9" hidden="1">
      <c r="B90" s="1770"/>
      <c r="C90" s="1770"/>
      <c r="D90" s="1771"/>
      <c r="E90" s="1116"/>
      <c r="F90" s="1116"/>
      <c r="G90" s="1116"/>
      <c r="H90" s="1116"/>
      <c r="I90" s="1116"/>
    </row>
    <row r="91" spans="2:9" hidden="1">
      <c r="B91" s="1770"/>
      <c r="C91" s="1770"/>
      <c r="D91" s="1771"/>
      <c r="E91" s="1116"/>
      <c r="F91" s="1116"/>
      <c r="G91" s="1116"/>
      <c r="H91" s="1116"/>
      <c r="I91" s="1116"/>
    </row>
    <row r="92" spans="2:9" hidden="1">
      <c r="B92" s="1770"/>
      <c r="C92" s="1770"/>
      <c r="D92" s="1771"/>
      <c r="E92" s="1116"/>
      <c r="F92" s="1116"/>
      <c r="G92" s="1116"/>
      <c r="H92" s="1116"/>
      <c r="I92" s="1116"/>
    </row>
    <row r="93" spans="2:9" hidden="1">
      <c r="B93" s="1772"/>
      <c r="C93" s="1772"/>
      <c r="D93" s="1773"/>
      <c r="E93" s="1115"/>
      <c r="F93" s="1116"/>
      <c r="G93" s="1116"/>
      <c r="H93" s="1116"/>
      <c r="I93" s="1116"/>
    </row>
    <row r="94" spans="2:9" hidden="1">
      <c r="B94" s="909" t="str">
        <f>IF('1) Data Entry'!E129="","Not Used","TOTAL- "&amp;'1) Data Entry'!E128&amp;"-"&amp;'1) Data Entry'!E129)</f>
        <v>Not Used</v>
      </c>
      <c r="C94" s="908"/>
      <c r="D94" s="911"/>
      <c r="E94" s="301">
        <f>SUM(E89:E93)</f>
        <v>0</v>
      </c>
      <c r="F94" s="301">
        <f>SUM(F89:F93)</f>
        <v>0</v>
      </c>
      <c r="G94" s="301">
        <f>SUM(G89:G93)</f>
        <v>0</v>
      </c>
      <c r="H94" s="301">
        <f>SUM(H89:H93)</f>
        <v>0</v>
      </c>
      <c r="I94" s="301">
        <f>SUM(I89:I93)</f>
        <v>0</v>
      </c>
    </row>
    <row r="95" spans="2:9" hidden="1">
      <c r="B95" s="1602"/>
      <c r="C95" s="1602"/>
      <c r="D95" s="1602"/>
    </row>
    <row r="96" spans="2:9" hidden="1">
      <c r="B96" s="1780"/>
      <c r="C96" s="1780"/>
      <c r="D96" s="1780"/>
      <c r="E96" s="300" t="s">
        <v>348</v>
      </c>
      <c r="F96" s="300" t="s">
        <v>349</v>
      </c>
      <c r="G96" s="300" t="s">
        <v>350</v>
      </c>
      <c r="H96" s="300" t="s">
        <v>351</v>
      </c>
      <c r="I96" s="300" t="s">
        <v>352</v>
      </c>
    </row>
    <row r="97" spans="2:9" hidden="1">
      <c r="B97" s="1770"/>
      <c r="C97" s="1770"/>
      <c r="D97" s="1771"/>
      <c r="E97" s="1115"/>
      <c r="F97" s="1116"/>
      <c r="G97" s="1116"/>
      <c r="H97" s="1116"/>
      <c r="I97" s="1116"/>
    </row>
    <row r="98" spans="2:9" hidden="1">
      <c r="B98" s="1770"/>
      <c r="C98" s="1770"/>
      <c r="D98" s="1771"/>
      <c r="E98" s="1116"/>
      <c r="F98" s="1116"/>
      <c r="G98" s="1116"/>
      <c r="H98" s="1116"/>
      <c r="I98" s="1116"/>
    </row>
    <row r="99" spans="2:9" hidden="1">
      <c r="B99" s="1770"/>
      <c r="C99" s="1770"/>
      <c r="D99" s="1771"/>
      <c r="E99" s="1116"/>
      <c r="F99" s="1116"/>
      <c r="G99" s="1116"/>
      <c r="H99" s="1116"/>
      <c r="I99" s="1116"/>
    </row>
    <row r="100" spans="2:9" hidden="1">
      <c r="B100" s="1770"/>
      <c r="C100" s="1770"/>
      <c r="D100" s="1771"/>
      <c r="E100" s="1116"/>
      <c r="F100" s="1116"/>
      <c r="G100" s="1116"/>
      <c r="H100" s="1116"/>
      <c r="I100" s="1116"/>
    </row>
    <row r="101" spans="2:9" hidden="1">
      <c r="B101" s="1772"/>
      <c r="C101" s="1772"/>
      <c r="D101" s="1773"/>
      <c r="E101" s="1115"/>
      <c r="F101" s="1116"/>
      <c r="G101" s="1116"/>
      <c r="H101" s="1116"/>
      <c r="I101" s="1116"/>
    </row>
    <row r="102" spans="2:9" hidden="1">
      <c r="B102" s="909" t="str">
        <f>IF('1) Data Entry'!E137="","Not Used","TOTAL- "&amp;'1) Data Entry'!E136&amp;"-"&amp;'1) Data Entry'!E137)</f>
        <v>Not Used</v>
      </c>
      <c r="C102" s="908"/>
      <c r="D102" s="908"/>
      <c r="E102" s="301">
        <f>SUM(E97:E101)</f>
        <v>0</v>
      </c>
      <c r="F102" s="301">
        <f>SUM(F97:F101)</f>
        <v>0</v>
      </c>
      <c r="G102" s="301">
        <f>SUM(G97:G101)</f>
        <v>0</v>
      </c>
      <c r="H102" s="301">
        <f>SUM(H97:H101)</f>
        <v>0</v>
      </c>
      <c r="I102" s="301">
        <f>SUM(I97:I101)</f>
        <v>0</v>
      </c>
    </row>
    <row r="103" spans="2:9" hidden="1">
      <c r="B103" s="1602"/>
      <c r="C103" s="1602"/>
      <c r="D103" s="1602"/>
    </row>
    <row r="104" spans="2:9" hidden="1">
      <c r="B104" s="1780"/>
      <c r="C104" s="1780"/>
      <c r="D104" s="1780"/>
      <c r="E104" s="300" t="s">
        <v>348</v>
      </c>
      <c r="F104" s="300" t="s">
        <v>349</v>
      </c>
      <c r="G104" s="300" t="s">
        <v>350</v>
      </c>
      <c r="H104" s="300" t="s">
        <v>351</v>
      </c>
      <c r="I104" s="300" t="s">
        <v>352</v>
      </c>
    </row>
    <row r="105" spans="2:9" hidden="1">
      <c r="B105" s="1770"/>
      <c r="C105" s="1770"/>
      <c r="D105" s="1771"/>
      <c r="E105" s="1115"/>
      <c r="F105" s="1116"/>
      <c r="G105" s="1116"/>
      <c r="H105" s="1116"/>
      <c r="I105" s="1116"/>
    </row>
    <row r="106" spans="2:9" hidden="1">
      <c r="B106" s="1770"/>
      <c r="C106" s="1770"/>
      <c r="D106" s="1771"/>
      <c r="E106" s="1116"/>
      <c r="F106" s="1116"/>
      <c r="G106" s="1116"/>
      <c r="H106" s="1116"/>
      <c r="I106" s="1116"/>
    </row>
    <row r="107" spans="2:9" hidden="1">
      <c r="B107" s="1770"/>
      <c r="C107" s="1770"/>
      <c r="D107" s="1771"/>
      <c r="E107" s="1116"/>
      <c r="F107" s="1116"/>
      <c r="G107" s="1116"/>
      <c r="H107" s="1116"/>
      <c r="I107" s="1116"/>
    </row>
    <row r="108" spans="2:9" hidden="1">
      <c r="B108" s="1770"/>
      <c r="C108" s="1770"/>
      <c r="D108" s="1771"/>
      <c r="E108" s="1116"/>
      <c r="F108" s="1116"/>
      <c r="G108" s="1116"/>
      <c r="H108" s="1116"/>
      <c r="I108" s="1116"/>
    </row>
    <row r="109" spans="2:9" hidden="1">
      <c r="B109" s="1772"/>
      <c r="C109" s="1772"/>
      <c r="D109" s="1773"/>
      <c r="E109" s="1115"/>
      <c r="F109" s="1116"/>
      <c r="G109" s="1116"/>
      <c r="H109" s="1116"/>
      <c r="I109" s="1116"/>
    </row>
    <row r="110" spans="2:9" hidden="1">
      <c r="B110" s="909" t="str">
        <f>IF('1) Data Entry'!E145="","Not Used","TOTAL- "&amp;'1) Data Entry'!E144&amp;"-"&amp;'1) Data Entry'!E145)</f>
        <v>Not Used</v>
      </c>
      <c r="C110" s="908"/>
      <c r="D110" s="908"/>
      <c r="E110" s="301">
        <f>SUM(E105:E109)</f>
        <v>0</v>
      </c>
      <c r="F110" s="301">
        <f>SUM(F105:F109)</f>
        <v>0</v>
      </c>
      <c r="G110" s="301">
        <f>SUM(G105:G109)</f>
        <v>0</v>
      </c>
      <c r="H110" s="301">
        <f>SUM(H105:H109)</f>
        <v>0</v>
      </c>
      <c r="I110" s="301">
        <f>SUM(I105:I109)</f>
        <v>0</v>
      </c>
    </row>
    <row r="111" spans="2:9" hidden="1">
      <c r="B111" s="1602"/>
      <c r="C111" s="1602"/>
      <c r="D111" s="1602"/>
    </row>
    <row r="112" spans="2:9" hidden="1">
      <c r="B112" s="1780"/>
      <c r="C112" s="1780"/>
      <c r="D112" s="1780"/>
      <c r="E112" s="300" t="s">
        <v>348</v>
      </c>
      <c r="F112" s="300" t="s">
        <v>349</v>
      </c>
      <c r="G112" s="300" t="s">
        <v>350</v>
      </c>
      <c r="H112" s="300" t="s">
        <v>351</v>
      </c>
      <c r="I112" s="300" t="s">
        <v>352</v>
      </c>
    </row>
    <row r="113" spans="2:9" hidden="1">
      <c r="B113" s="1770"/>
      <c r="C113" s="1770"/>
      <c r="D113" s="1771"/>
      <c r="E113" s="1115"/>
      <c r="F113" s="1116"/>
      <c r="G113" s="1116"/>
      <c r="H113" s="1116"/>
      <c r="I113" s="1116"/>
    </row>
    <row r="114" spans="2:9" hidden="1">
      <c r="B114" s="1770"/>
      <c r="C114" s="1770"/>
      <c r="D114" s="1771"/>
      <c r="E114" s="1116"/>
      <c r="F114" s="1116"/>
      <c r="G114" s="1116"/>
      <c r="H114" s="1116"/>
      <c r="I114" s="1116"/>
    </row>
    <row r="115" spans="2:9" hidden="1">
      <c r="B115" s="1770"/>
      <c r="C115" s="1770"/>
      <c r="D115" s="1771"/>
      <c r="E115" s="1116"/>
      <c r="F115" s="1116"/>
      <c r="G115" s="1116"/>
      <c r="H115" s="1116"/>
      <c r="I115" s="1116"/>
    </row>
    <row r="116" spans="2:9" hidden="1">
      <c r="B116" s="1770"/>
      <c r="C116" s="1770"/>
      <c r="D116" s="1771"/>
      <c r="E116" s="1116"/>
      <c r="F116" s="1116"/>
      <c r="G116" s="1116"/>
      <c r="H116" s="1116"/>
      <c r="I116" s="1116"/>
    </row>
    <row r="117" spans="2:9" hidden="1">
      <c r="B117" s="1772"/>
      <c r="C117" s="1772"/>
      <c r="D117" s="1773"/>
      <c r="E117" s="1115"/>
      <c r="F117" s="1116"/>
      <c r="G117" s="1116"/>
      <c r="H117" s="1116"/>
      <c r="I117" s="1116"/>
    </row>
    <row r="118" spans="2:9" hidden="1">
      <c r="B118" s="909" t="str">
        <f>IF('1) Data Entry'!E153="","Not Used","TOTAL- "&amp;'1) Data Entry'!E152&amp;"-"&amp;'1) Data Entry'!E153)</f>
        <v>Not Used</v>
      </c>
      <c r="C118" s="908"/>
      <c r="D118" s="908"/>
      <c r="E118" s="301">
        <f>SUM(E113:E117)</f>
        <v>0</v>
      </c>
      <c r="F118" s="301">
        <f>SUM(F113:F117)</f>
        <v>0</v>
      </c>
      <c r="G118" s="301">
        <f>SUM(G113:G117)</f>
        <v>0</v>
      </c>
      <c r="H118" s="301">
        <f>SUM(H113:H117)</f>
        <v>0</v>
      </c>
      <c r="I118" s="301">
        <f>SUM(I113:I117)</f>
        <v>0</v>
      </c>
    </row>
    <row r="119" spans="2:9" hidden="1">
      <c r="B119" s="1602"/>
      <c r="C119" s="1602"/>
      <c r="D119" s="1602"/>
    </row>
    <row r="120" spans="2:9" hidden="1">
      <c r="B120" s="1780"/>
      <c r="C120" s="1780"/>
      <c r="D120" s="1780"/>
      <c r="E120" s="300" t="s">
        <v>348</v>
      </c>
      <c r="F120" s="300" t="s">
        <v>349</v>
      </c>
      <c r="G120" s="300" t="s">
        <v>350</v>
      </c>
      <c r="H120" s="300" t="s">
        <v>351</v>
      </c>
      <c r="I120" s="300" t="s">
        <v>352</v>
      </c>
    </row>
    <row r="121" spans="2:9" hidden="1">
      <c r="B121" s="1770"/>
      <c r="C121" s="1770"/>
      <c r="D121" s="1771"/>
      <c r="E121" s="1115"/>
      <c r="F121" s="1116"/>
      <c r="G121" s="1116"/>
      <c r="H121" s="1116"/>
      <c r="I121" s="1116"/>
    </row>
    <row r="122" spans="2:9" hidden="1">
      <c r="B122" s="1770"/>
      <c r="C122" s="1770"/>
      <c r="D122" s="1771"/>
      <c r="E122" s="1116"/>
      <c r="F122" s="1116"/>
      <c r="G122" s="1116"/>
      <c r="H122" s="1116"/>
      <c r="I122" s="1116"/>
    </row>
    <row r="123" spans="2:9" hidden="1">
      <c r="B123" s="1770"/>
      <c r="C123" s="1770"/>
      <c r="D123" s="1771"/>
      <c r="E123" s="1116"/>
      <c r="F123" s="1116"/>
      <c r="G123" s="1116"/>
      <c r="H123" s="1116"/>
      <c r="I123" s="1116"/>
    </row>
    <row r="124" spans="2:9" hidden="1">
      <c r="B124" s="1770"/>
      <c r="C124" s="1770"/>
      <c r="D124" s="1771"/>
      <c r="E124" s="1116"/>
      <c r="F124" s="1116"/>
      <c r="G124" s="1116"/>
      <c r="H124" s="1116"/>
      <c r="I124" s="1116"/>
    </row>
    <row r="125" spans="2:9" hidden="1">
      <c r="B125" s="1772"/>
      <c r="C125" s="1772"/>
      <c r="D125" s="1773"/>
      <c r="E125" s="1115"/>
      <c r="F125" s="1116"/>
      <c r="G125" s="1116"/>
      <c r="H125" s="1116"/>
      <c r="I125" s="1116"/>
    </row>
    <row r="126" spans="2:9" hidden="1">
      <c r="B126" s="909" t="str">
        <f>IF('1) Data Entry'!E161="","Not Used","TOTAL- "&amp;'1) Data Entry'!E160&amp;"-"&amp;'1) Data Entry'!E161)</f>
        <v>Not Used</v>
      </c>
      <c r="C126" s="908"/>
      <c r="D126" s="908"/>
      <c r="E126" s="301">
        <f>SUM(E121:E125)</f>
        <v>0</v>
      </c>
      <c r="F126" s="301">
        <f>SUM(F121:F125)</f>
        <v>0</v>
      </c>
      <c r="G126" s="301">
        <f>SUM(G121:G125)</f>
        <v>0</v>
      </c>
      <c r="H126" s="301">
        <f>SUM(H121:H125)</f>
        <v>0</v>
      </c>
      <c r="I126" s="301">
        <f>SUM(I121:I125)</f>
        <v>0</v>
      </c>
    </row>
    <row r="127" spans="2:9" hidden="1">
      <c r="B127" s="1602"/>
      <c r="C127" s="1602"/>
      <c r="D127" s="1602"/>
    </row>
    <row r="128" spans="2:9" hidden="1">
      <c r="B128" s="1780"/>
      <c r="C128" s="1780"/>
      <c r="D128" s="1780"/>
      <c r="E128" s="300" t="s">
        <v>348</v>
      </c>
      <c r="F128" s="300" t="s">
        <v>349</v>
      </c>
      <c r="G128" s="300" t="s">
        <v>350</v>
      </c>
      <c r="H128" s="300" t="s">
        <v>351</v>
      </c>
      <c r="I128" s="300" t="s">
        <v>352</v>
      </c>
    </row>
    <row r="129" spans="2:9" hidden="1">
      <c r="B129" s="1770"/>
      <c r="C129" s="1770"/>
      <c r="D129" s="1771"/>
      <c r="E129" s="1115"/>
      <c r="F129" s="1116"/>
      <c r="G129" s="1116"/>
      <c r="H129" s="1116"/>
      <c r="I129" s="1116"/>
    </row>
    <row r="130" spans="2:9" hidden="1">
      <c r="B130" s="1770"/>
      <c r="C130" s="1770"/>
      <c r="D130" s="1771"/>
      <c r="E130" s="1116"/>
      <c r="F130" s="1116"/>
      <c r="G130" s="1116"/>
      <c r="H130" s="1116"/>
      <c r="I130" s="1116"/>
    </row>
    <row r="131" spans="2:9" hidden="1">
      <c r="B131" s="1770"/>
      <c r="C131" s="1770"/>
      <c r="D131" s="1771"/>
      <c r="E131" s="1116"/>
      <c r="F131" s="1116"/>
      <c r="G131" s="1116"/>
      <c r="H131" s="1116"/>
      <c r="I131" s="1116"/>
    </row>
    <row r="132" spans="2:9" hidden="1">
      <c r="B132" s="1770"/>
      <c r="C132" s="1770"/>
      <c r="D132" s="1771"/>
      <c r="E132" s="1116"/>
      <c r="F132" s="1116"/>
      <c r="G132" s="1116"/>
      <c r="H132" s="1116"/>
      <c r="I132" s="1116"/>
    </row>
    <row r="133" spans="2:9" hidden="1">
      <c r="B133" s="1772"/>
      <c r="C133" s="1772"/>
      <c r="D133" s="1773"/>
      <c r="E133" s="1115"/>
      <c r="F133" s="1116"/>
      <c r="G133" s="1116"/>
      <c r="H133" s="1116"/>
      <c r="I133" s="1116"/>
    </row>
    <row r="134" spans="2:9" hidden="1">
      <c r="B134" s="909" t="str">
        <f>IF('1) Data Entry'!E169="","Not Used","TOTAL- "&amp;'1) Data Entry'!E168&amp;"-"&amp;'1) Data Entry'!E169)</f>
        <v>Not Used</v>
      </c>
      <c r="C134" s="908"/>
      <c r="D134" s="908"/>
      <c r="E134" s="301">
        <f>SUM(E129:E133)</f>
        <v>0</v>
      </c>
      <c r="F134" s="301">
        <f>SUM(F129:F133)</f>
        <v>0</v>
      </c>
      <c r="G134" s="301">
        <f>SUM(G129:G133)</f>
        <v>0</v>
      </c>
      <c r="H134" s="301">
        <f>SUM(H129:H133)</f>
        <v>0</v>
      </c>
      <c r="I134" s="301">
        <f>SUM(I129:I133)</f>
        <v>0</v>
      </c>
    </row>
    <row r="135" spans="2:9" hidden="1">
      <c r="B135" s="1602"/>
      <c r="C135" s="1602"/>
      <c r="D135" s="1602"/>
    </row>
    <row r="136" spans="2:9" hidden="1">
      <c r="B136" s="1780"/>
      <c r="C136" s="1780"/>
      <c r="D136" s="1780"/>
      <c r="E136" s="300" t="s">
        <v>348</v>
      </c>
      <c r="F136" s="300" t="s">
        <v>349</v>
      </c>
      <c r="G136" s="300" t="s">
        <v>350</v>
      </c>
      <c r="H136" s="300" t="s">
        <v>351</v>
      </c>
      <c r="I136" s="300" t="s">
        <v>352</v>
      </c>
    </row>
    <row r="137" spans="2:9" hidden="1">
      <c r="B137" s="1770"/>
      <c r="C137" s="1770"/>
      <c r="D137" s="1771"/>
      <c r="E137" s="1115"/>
      <c r="F137" s="1116"/>
      <c r="G137" s="1116"/>
      <c r="H137" s="1116"/>
      <c r="I137" s="1116"/>
    </row>
    <row r="138" spans="2:9" hidden="1">
      <c r="B138" s="1770"/>
      <c r="C138" s="1770"/>
      <c r="D138" s="1771"/>
      <c r="E138" s="1116"/>
      <c r="F138" s="1116"/>
      <c r="G138" s="1116"/>
      <c r="H138" s="1116"/>
      <c r="I138" s="1116"/>
    </row>
    <row r="139" spans="2:9" hidden="1">
      <c r="B139" s="1770"/>
      <c r="C139" s="1770"/>
      <c r="D139" s="1771"/>
      <c r="E139" s="1116"/>
      <c r="F139" s="1116"/>
      <c r="G139" s="1116"/>
      <c r="H139" s="1116"/>
      <c r="I139" s="1116"/>
    </row>
    <row r="140" spans="2:9" hidden="1">
      <c r="B140" s="1770"/>
      <c r="C140" s="1770"/>
      <c r="D140" s="1771"/>
      <c r="E140" s="1116"/>
      <c r="F140" s="1116"/>
      <c r="G140" s="1116"/>
      <c r="H140" s="1116"/>
      <c r="I140" s="1116"/>
    </row>
    <row r="141" spans="2:9" hidden="1">
      <c r="B141" s="1772"/>
      <c r="C141" s="1772"/>
      <c r="D141" s="1773"/>
      <c r="E141" s="1115"/>
      <c r="F141" s="1116"/>
      <c r="G141" s="1116"/>
      <c r="H141" s="1116"/>
      <c r="I141" s="1116"/>
    </row>
    <row r="142" spans="2:9" hidden="1">
      <c r="B142" s="909" t="str">
        <f>IF('1) Data Entry'!E177="","Not Used","TOTAL- "&amp;'1) Data Entry'!E176&amp;"-"&amp;'1) Data Entry'!E177)</f>
        <v>Not Used</v>
      </c>
      <c r="C142" s="908"/>
      <c r="D142" s="908"/>
      <c r="E142" s="301">
        <f>SUM(E137:E141)</f>
        <v>0</v>
      </c>
      <c r="F142" s="301">
        <f>SUM(F137:F141)</f>
        <v>0</v>
      </c>
      <c r="G142" s="301">
        <f>SUM(G137:G141)</f>
        <v>0</v>
      </c>
      <c r="H142" s="301">
        <f>SUM(H137:H141)</f>
        <v>0</v>
      </c>
      <c r="I142" s="301">
        <f>SUM(I137:I141)</f>
        <v>0</v>
      </c>
    </row>
    <row r="143" spans="2:9" hidden="1"/>
    <row r="144" spans="2:9" hidden="1">
      <c r="B144" s="39"/>
      <c r="C144" s="39"/>
      <c r="D144" s="39"/>
      <c r="E144" s="116"/>
      <c r="F144" s="116"/>
      <c r="G144" s="116"/>
      <c r="H144" s="116"/>
      <c r="I144" s="116"/>
    </row>
    <row r="145" spans="2:9" ht="16.2" hidden="1" thickBot="1">
      <c r="B145" s="1775" t="s">
        <v>358</v>
      </c>
      <c r="C145" s="1775"/>
      <c r="D145" s="1775"/>
      <c r="E145" s="1775"/>
      <c r="F145" s="1775"/>
      <c r="G145" s="1775"/>
      <c r="H145" s="1775"/>
      <c r="I145" s="1775"/>
    </row>
    <row r="146" spans="2:9" ht="13.8" hidden="1" thickTop="1">
      <c r="B146" s="1780"/>
      <c r="C146" s="1602"/>
      <c r="D146" s="1602"/>
      <c r="E146" s="300" t="s">
        <v>348</v>
      </c>
      <c r="F146" s="300" t="s">
        <v>349</v>
      </c>
      <c r="G146" s="300" t="s">
        <v>350</v>
      </c>
      <c r="H146" s="300" t="s">
        <v>351</v>
      </c>
      <c r="I146" s="300" t="s">
        <v>352</v>
      </c>
    </row>
    <row r="147" spans="2:9" hidden="1">
      <c r="B147" s="1770"/>
      <c r="C147" s="1770"/>
      <c r="D147" s="1771"/>
      <c r="E147" s="1115"/>
      <c r="F147" s="1116"/>
      <c r="G147" s="1116"/>
      <c r="H147" s="1116"/>
      <c r="I147" s="1116"/>
    </row>
    <row r="148" spans="2:9" hidden="1">
      <c r="B148" s="1770"/>
      <c r="C148" s="1770"/>
      <c r="D148" s="1771"/>
      <c r="E148" s="1116"/>
      <c r="F148" s="1116"/>
      <c r="G148" s="1116"/>
      <c r="H148" s="1116"/>
      <c r="I148" s="1116"/>
    </row>
    <row r="149" spans="2:9" hidden="1">
      <c r="B149" s="1770"/>
      <c r="C149" s="1770"/>
      <c r="D149" s="1771"/>
      <c r="E149" s="1116"/>
      <c r="F149" s="1116"/>
      <c r="G149" s="1116"/>
      <c r="H149" s="1116"/>
      <c r="I149" s="1116"/>
    </row>
    <row r="150" spans="2:9" hidden="1">
      <c r="B150" s="1770"/>
      <c r="C150" s="1770"/>
      <c r="D150" s="1771"/>
      <c r="E150" s="1116"/>
      <c r="F150" s="1116"/>
      <c r="G150" s="1116"/>
      <c r="H150" s="1116"/>
      <c r="I150" s="1116"/>
    </row>
    <row r="151" spans="2:9" hidden="1">
      <c r="B151" s="1772"/>
      <c r="C151" s="1772"/>
      <c r="D151" s="1773"/>
      <c r="E151" s="1115"/>
      <c r="F151" s="1116"/>
      <c r="G151" s="1116"/>
      <c r="H151" s="1116"/>
      <c r="I151" s="1116"/>
    </row>
    <row r="152" spans="2:9" hidden="1">
      <c r="B152" s="1784" t="str">
        <f>IF('1) Data Entry'!E120="","Not Used","TOTAL- "&amp;'1) Data Entry'!G$3&amp;"-"&amp;'1) Data Entry'!E120)</f>
        <v>Not Used</v>
      </c>
      <c r="C152" s="1784"/>
      <c r="D152" s="1784"/>
      <c r="E152" s="301">
        <f>SUM(E147:E151)</f>
        <v>0</v>
      </c>
      <c r="F152" s="301">
        <f>SUM(F147:F151)</f>
        <v>0</v>
      </c>
      <c r="G152" s="301">
        <f>SUM(G147:G151)</f>
        <v>0</v>
      </c>
      <c r="H152" s="301">
        <f>SUM(H147:H151)</f>
        <v>0</v>
      </c>
      <c r="I152" s="301">
        <f>SUM(I147:I151)</f>
        <v>0</v>
      </c>
    </row>
    <row r="153" spans="2:9" hidden="1">
      <c r="B153" s="1785"/>
      <c r="C153" s="1785"/>
      <c r="D153" s="1785"/>
      <c r="E153" s="116"/>
      <c r="F153" s="116"/>
      <c r="G153" s="116"/>
      <c r="H153" s="116"/>
      <c r="I153" s="116"/>
    </row>
    <row r="154" spans="2:9" hidden="1">
      <c r="B154" s="1780"/>
      <c r="C154" s="1780"/>
      <c r="D154" s="1780"/>
      <c r="E154" s="300" t="s">
        <v>348</v>
      </c>
      <c r="F154" s="300" t="s">
        <v>349</v>
      </c>
      <c r="G154" s="300" t="s">
        <v>350</v>
      </c>
      <c r="H154" s="300" t="s">
        <v>351</v>
      </c>
      <c r="I154" s="300" t="s">
        <v>352</v>
      </c>
    </row>
    <row r="155" spans="2:9" hidden="1">
      <c r="B155" s="1770"/>
      <c r="C155" s="1770"/>
      <c r="D155" s="1771"/>
      <c r="E155" s="1115"/>
      <c r="F155" s="1116"/>
      <c r="G155" s="1116"/>
      <c r="H155" s="1116"/>
      <c r="I155" s="1116"/>
    </row>
    <row r="156" spans="2:9" hidden="1">
      <c r="B156" s="1770"/>
      <c r="C156" s="1770"/>
      <c r="D156" s="1771"/>
      <c r="E156" s="1116"/>
      <c r="F156" s="1116"/>
      <c r="G156" s="1116"/>
      <c r="H156" s="1116"/>
      <c r="I156" s="1116"/>
    </row>
    <row r="157" spans="2:9" hidden="1">
      <c r="B157" s="1770"/>
      <c r="C157" s="1770"/>
      <c r="D157" s="1771"/>
      <c r="E157" s="1116"/>
      <c r="F157" s="1116"/>
      <c r="G157" s="1116"/>
      <c r="H157" s="1116"/>
      <c r="I157" s="1116"/>
    </row>
    <row r="158" spans="2:9" hidden="1">
      <c r="B158" s="1770"/>
      <c r="C158" s="1770"/>
      <c r="D158" s="1771"/>
      <c r="E158" s="1116"/>
      <c r="F158" s="1116"/>
      <c r="G158" s="1116"/>
      <c r="H158" s="1116"/>
      <c r="I158" s="1116"/>
    </row>
    <row r="159" spans="2:9" hidden="1">
      <c r="B159" s="1772"/>
      <c r="C159" s="1772"/>
      <c r="D159" s="1773"/>
      <c r="E159" s="1115"/>
      <c r="F159" s="1116"/>
      <c r="G159" s="1116"/>
      <c r="H159" s="1116"/>
      <c r="I159" s="1116"/>
    </row>
    <row r="160" spans="2:9" hidden="1">
      <c r="B160" s="1784" t="str">
        <f>IF('1) Data Entry'!E128="","Not Used","TOTAL- "&amp;'1) Data Entry'!G$3&amp;"-"&amp;'1) Data Entry'!E128)</f>
        <v>Not Used</v>
      </c>
      <c r="C160" s="1784"/>
      <c r="D160" s="1784"/>
      <c r="E160" s="301">
        <f>SUM(E155:E159)</f>
        <v>0</v>
      </c>
      <c r="F160" s="301">
        <f>SUM(F155:F159)</f>
        <v>0</v>
      </c>
      <c r="G160" s="301">
        <f>SUM(G155:G159)</f>
        <v>0</v>
      </c>
      <c r="H160" s="301">
        <f>SUM(H155:H159)</f>
        <v>0</v>
      </c>
      <c r="I160" s="301">
        <f>SUM(I155:I159)</f>
        <v>0</v>
      </c>
    </row>
    <row r="161" spans="2:9" hidden="1">
      <c r="B161" s="1785"/>
      <c r="C161" s="1785"/>
      <c r="D161" s="1785"/>
      <c r="E161" s="116"/>
      <c r="F161" s="116"/>
      <c r="G161" s="116"/>
      <c r="H161" s="116"/>
      <c r="I161" s="116"/>
    </row>
    <row r="162" spans="2:9" hidden="1">
      <c r="B162" s="1780"/>
      <c r="C162" s="1780"/>
      <c r="D162" s="1780"/>
      <c r="E162" s="300" t="s">
        <v>348</v>
      </c>
      <c r="F162" s="300" t="s">
        <v>349</v>
      </c>
      <c r="G162" s="300" t="s">
        <v>350</v>
      </c>
      <c r="H162" s="300" t="s">
        <v>351</v>
      </c>
      <c r="I162" s="300" t="s">
        <v>352</v>
      </c>
    </row>
    <row r="163" spans="2:9" hidden="1">
      <c r="B163" s="1770"/>
      <c r="C163" s="1770"/>
      <c r="D163" s="1771"/>
      <c r="E163" s="1115"/>
      <c r="F163" s="1116"/>
      <c r="G163" s="1116"/>
      <c r="H163" s="1116"/>
      <c r="I163" s="1116"/>
    </row>
    <row r="164" spans="2:9" hidden="1">
      <c r="B164" s="1770"/>
      <c r="C164" s="1770"/>
      <c r="D164" s="1771"/>
      <c r="E164" s="1116"/>
      <c r="F164" s="1116"/>
      <c r="G164" s="1116"/>
      <c r="H164" s="1116"/>
      <c r="I164" s="1116"/>
    </row>
    <row r="165" spans="2:9" hidden="1">
      <c r="B165" s="1770"/>
      <c r="C165" s="1770"/>
      <c r="D165" s="1771"/>
      <c r="E165" s="1116"/>
      <c r="F165" s="1116"/>
      <c r="G165" s="1116"/>
      <c r="H165" s="1116"/>
      <c r="I165" s="1116"/>
    </row>
    <row r="166" spans="2:9" hidden="1">
      <c r="B166" s="1770"/>
      <c r="C166" s="1770"/>
      <c r="D166" s="1771"/>
      <c r="E166" s="1116"/>
      <c r="F166" s="1116"/>
      <c r="G166" s="1116"/>
      <c r="H166" s="1116"/>
      <c r="I166" s="1116"/>
    </row>
    <row r="167" spans="2:9" hidden="1">
      <c r="B167" s="1772"/>
      <c r="C167" s="1772"/>
      <c r="D167" s="1773"/>
      <c r="E167" s="1115"/>
      <c r="F167" s="1116"/>
      <c r="G167" s="1116"/>
      <c r="H167" s="1116"/>
      <c r="I167" s="1116"/>
    </row>
    <row r="168" spans="2:9" hidden="1">
      <c r="B168" s="1784" t="str">
        <f>IF('1) Data Entry'!E136="","Not Used","TOTAL- "&amp;'1) Data Entry'!G$3&amp;"-"&amp;'1) Data Entry'!E136)</f>
        <v>Not Used</v>
      </c>
      <c r="C168" s="1784"/>
      <c r="D168" s="1784"/>
      <c r="E168" s="301">
        <f>SUM(E163:E167)</f>
        <v>0</v>
      </c>
      <c r="F168" s="301">
        <f>SUM(F163:F167)</f>
        <v>0</v>
      </c>
      <c r="G168" s="301">
        <f>SUM(G163:G167)</f>
        <v>0</v>
      </c>
      <c r="H168" s="301">
        <f>SUM(H163:H167)</f>
        <v>0</v>
      </c>
      <c r="I168" s="301">
        <f>SUM(I163:I167)</f>
        <v>0</v>
      </c>
    </row>
    <row r="169" spans="2:9" hidden="1">
      <c r="B169" s="1785"/>
      <c r="C169" s="1785"/>
      <c r="D169" s="1785"/>
      <c r="E169" s="116"/>
      <c r="F169" s="116"/>
      <c r="G169" s="116"/>
      <c r="H169" s="116"/>
      <c r="I169" s="116"/>
    </row>
    <row r="170" spans="2:9" hidden="1">
      <c r="B170" s="1780"/>
      <c r="C170" s="1780"/>
      <c r="D170" s="1780"/>
      <c r="E170" s="300" t="s">
        <v>348</v>
      </c>
      <c r="F170" s="300" t="s">
        <v>349</v>
      </c>
      <c r="G170" s="300" t="s">
        <v>350</v>
      </c>
      <c r="H170" s="300" t="s">
        <v>351</v>
      </c>
      <c r="I170" s="300" t="s">
        <v>352</v>
      </c>
    </row>
    <row r="171" spans="2:9" hidden="1">
      <c r="B171" s="1770"/>
      <c r="C171" s="1770"/>
      <c r="D171" s="1771"/>
      <c r="E171" s="1115"/>
      <c r="F171" s="1116"/>
      <c r="G171" s="1116"/>
      <c r="H171" s="1116"/>
      <c r="I171" s="1116"/>
    </row>
    <row r="172" spans="2:9" hidden="1">
      <c r="B172" s="1770"/>
      <c r="C172" s="1770"/>
      <c r="D172" s="1771"/>
      <c r="E172" s="1116"/>
      <c r="F172" s="1116"/>
      <c r="G172" s="1116"/>
      <c r="H172" s="1116"/>
      <c r="I172" s="1116"/>
    </row>
    <row r="173" spans="2:9" hidden="1">
      <c r="B173" s="1770"/>
      <c r="C173" s="1770"/>
      <c r="D173" s="1771"/>
      <c r="E173" s="1116"/>
      <c r="F173" s="1116"/>
      <c r="G173" s="1116"/>
      <c r="H173" s="1116"/>
      <c r="I173" s="1116"/>
    </row>
    <row r="174" spans="2:9" hidden="1">
      <c r="B174" s="1770"/>
      <c r="C174" s="1770"/>
      <c r="D174" s="1771"/>
      <c r="E174" s="1116"/>
      <c r="F174" s="1116"/>
      <c r="G174" s="1116"/>
      <c r="H174" s="1116"/>
      <c r="I174" s="1116"/>
    </row>
    <row r="175" spans="2:9" hidden="1">
      <c r="B175" s="1772"/>
      <c r="C175" s="1772"/>
      <c r="D175" s="1773"/>
      <c r="E175" s="1115"/>
      <c r="F175" s="1116"/>
      <c r="G175" s="1116"/>
      <c r="H175" s="1116"/>
      <c r="I175" s="1116"/>
    </row>
    <row r="176" spans="2:9" hidden="1">
      <c r="B176" s="1784" t="str">
        <f>IF('1) Data Entry'!E144="","Not Used","TOTAL- "&amp;'1) Data Entry'!G$3&amp;"-"&amp;'1) Data Entry'!E144)</f>
        <v>Not Used</v>
      </c>
      <c r="C176" s="1784"/>
      <c r="D176" s="1784"/>
      <c r="E176" s="301">
        <f>SUM(E171:E175)</f>
        <v>0</v>
      </c>
      <c r="F176" s="301">
        <f>SUM(F171:F175)</f>
        <v>0</v>
      </c>
      <c r="G176" s="301">
        <f>SUM(G171:G175)</f>
        <v>0</v>
      </c>
      <c r="H176" s="301">
        <f>SUM(H171:H175)</f>
        <v>0</v>
      </c>
      <c r="I176" s="301">
        <f>SUM(I171:I175)</f>
        <v>0</v>
      </c>
    </row>
    <row r="177" spans="2:9" hidden="1">
      <c r="B177" s="1785"/>
      <c r="C177" s="1785"/>
      <c r="D177" s="1785"/>
      <c r="E177" s="116"/>
      <c r="F177" s="116"/>
      <c r="G177" s="116"/>
      <c r="H177" s="116"/>
      <c r="I177" s="116"/>
    </row>
    <row r="178" spans="2:9" hidden="1">
      <c r="B178" s="1780"/>
      <c r="C178" s="1780"/>
      <c r="D178" s="1780"/>
      <c r="E178" s="300" t="s">
        <v>348</v>
      </c>
      <c r="F178" s="300" t="s">
        <v>349</v>
      </c>
      <c r="G178" s="300" t="s">
        <v>350</v>
      </c>
      <c r="H178" s="300" t="s">
        <v>351</v>
      </c>
      <c r="I178" s="300" t="s">
        <v>352</v>
      </c>
    </row>
    <row r="179" spans="2:9" hidden="1">
      <c r="B179" s="1770"/>
      <c r="C179" s="1770"/>
      <c r="D179" s="1771"/>
      <c r="E179" s="1115"/>
      <c r="F179" s="1116"/>
      <c r="G179" s="1116"/>
      <c r="H179" s="1116"/>
      <c r="I179" s="1116"/>
    </row>
    <row r="180" spans="2:9" hidden="1">
      <c r="B180" s="1770"/>
      <c r="C180" s="1770"/>
      <c r="D180" s="1771"/>
      <c r="E180" s="1116"/>
      <c r="F180" s="1116"/>
      <c r="G180" s="1116"/>
      <c r="H180" s="1116"/>
      <c r="I180" s="1116"/>
    </row>
    <row r="181" spans="2:9" hidden="1">
      <c r="B181" s="1770"/>
      <c r="C181" s="1770"/>
      <c r="D181" s="1771"/>
      <c r="E181" s="1116"/>
      <c r="F181" s="1116"/>
      <c r="G181" s="1116"/>
      <c r="H181" s="1116"/>
      <c r="I181" s="1116"/>
    </row>
    <row r="182" spans="2:9" hidden="1">
      <c r="B182" s="1770"/>
      <c r="C182" s="1770"/>
      <c r="D182" s="1771"/>
      <c r="E182" s="1116"/>
      <c r="F182" s="1116"/>
      <c r="G182" s="1116"/>
      <c r="H182" s="1116"/>
      <c r="I182" s="1116"/>
    </row>
    <row r="183" spans="2:9" hidden="1">
      <c r="B183" s="1772"/>
      <c r="C183" s="1772"/>
      <c r="D183" s="1773"/>
      <c r="E183" s="1115"/>
      <c r="F183" s="1116"/>
      <c r="G183" s="1116"/>
      <c r="H183" s="1116"/>
      <c r="I183" s="1116"/>
    </row>
    <row r="184" spans="2:9" hidden="1">
      <c r="B184" s="1784" t="str">
        <f>IF('1) Data Entry'!E152="","Not Used","TOTAL- "&amp;'1) Data Entry'!G$3&amp;"-"&amp;'1) Data Entry'!E152)</f>
        <v>Not Used</v>
      </c>
      <c r="C184" s="1784"/>
      <c r="D184" s="1784"/>
      <c r="E184" s="301">
        <f>SUM(E179:E183)</f>
        <v>0</v>
      </c>
      <c r="F184" s="301">
        <f>SUM(F179:F183)</f>
        <v>0</v>
      </c>
      <c r="G184" s="301">
        <f>SUM(G179:G183)</f>
        <v>0</v>
      </c>
      <c r="H184" s="301">
        <f>SUM(H179:H183)</f>
        <v>0</v>
      </c>
      <c r="I184" s="301">
        <f>SUM(I179:I183)</f>
        <v>0</v>
      </c>
    </row>
    <row r="185" spans="2:9" hidden="1">
      <c r="B185" s="1785"/>
      <c r="C185" s="1785"/>
      <c r="D185" s="1785"/>
      <c r="E185" s="442"/>
      <c r="F185" s="442"/>
      <c r="G185" s="442"/>
      <c r="H185" s="442"/>
      <c r="I185" s="442"/>
    </row>
    <row r="186" spans="2:9" hidden="1">
      <c r="B186" s="1780"/>
      <c r="C186" s="1780"/>
      <c r="D186" s="1780"/>
      <c r="E186" s="300" t="s">
        <v>348</v>
      </c>
      <c r="F186" s="300" t="s">
        <v>349</v>
      </c>
      <c r="G186" s="300" t="s">
        <v>350</v>
      </c>
      <c r="H186" s="300" t="s">
        <v>351</v>
      </c>
      <c r="I186" s="300" t="s">
        <v>352</v>
      </c>
    </row>
    <row r="187" spans="2:9" hidden="1">
      <c r="B187" s="1770"/>
      <c r="C187" s="1770"/>
      <c r="D187" s="1771"/>
      <c r="E187" s="1115"/>
      <c r="F187" s="1116"/>
      <c r="G187" s="1116"/>
      <c r="H187" s="1116"/>
      <c r="I187" s="1116"/>
    </row>
    <row r="188" spans="2:9" hidden="1">
      <c r="B188" s="1770"/>
      <c r="C188" s="1770"/>
      <c r="D188" s="1771"/>
      <c r="E188" s="1116"/>
      <c r="F188" s="1116"/>
      <c r="G188" s="1116"/>
      <c r="H188" s="1116"/>
      <c r="I188" s="1116"/>
    </row>
    <row r="189" spans="2:9" hidden="1">
      <c r="B189" s="1770"/>
      <c r="C189" s="1770"/>
      <c r="D189" s="1771"/>
      <c r="E189" s="1116"/>
      <c r="F189" s="1116"/>
      <c r="G189" s="1116"/>
      <c r="H189" s="1116"/>
      <c r="I189" s="1116"/>
    </row>
    <row r="190" spans="2:9" hidden="1">
      <c r="B190" s="1770"/>
      <c r="C190" s="1770"/>
      <c r="D190" s="1771"/>
      <c r="E190" s="1116"/>
      <c r="F190" s="1116"/>
      <c r="G190" s="1116"/>
      <c r="H190" s="1116"/>
      <c r="I190" s="1116"/>
    </row>
    <row r="191" spans="2:9" hidden="1">
      <c r="B191" s="1772"/>
      <c r="C191" s="1772"/>
      <c r="D191" s="1773"/>
      <c r="E191" s="1115"/>
      <c r="F191" s="1116"/>
      <c r="G191" s="1116"/>
      <c r="H191" s="1116"/>
      <c r="I191" s="1116"/>
    </row>
    <row r="192" spans="2:9" hidden="1">
      <c r="B192" s="1784" t="str">
        <f>IF('1) Data Entry'!E160="","Not Used","TOTAL- "&amp;'1) Data Entry'!G$3&amp;"-"&amp;'1) Data Entry'!E160)</f>
        <v>Not Used</v>
      </c>
      <c r="C192" s="1784"/>
      <c r="D192" s="1784"/>
      <c r="E192" s="301">
        <f>SUM(E187:E191)</f>
        <v>0</v>
      </c>
      <c r="F192" s="301">
        <f>SUM(F187:F191)</f>
        <v>0</v>
      </c>
      <c r="G192" s="301">
        <f>SUM(G187:G191)</f>
        <v>0</v>
      </c>
      <c r="H192" s="301">
        <f>SUM(H187:H191)</f>
        <v>0</v>
      </c>
      <c r="I192" s="301">
        <f>SUM(I187:I191)</f>
        <v>0</v>
      </c>
    </row>
    <row r="193" spans="2:9" hidden="1">
      <c r="B193" s="1785"/>
      <c r="C193" s="1785"/>
      <c r="D193" s="1785"/>
      <c r="E193" s="116"/>
      <c r="F193" s="116"/>
      <c r="G193" s="116"/>
      <c r="H193" s="116"/>
      <c r="I193" s="116"/>
    </row>
    <row r="194" spans="2:9" hidden="1">
      <c r="B194" s="1780"/>
      <c r="C194" s="1780"/>
      <c r="D194" s="1780"/>
      <c r="E194" s="300" t="s">
        <v>348</v>
      </c>
      <c r="F194" s="300" t="s">
        <v>349</v>
      </c>
      <c r="G194" s="300" t="s">
        <v>350</v>
      </c>
      <c r="H194" s="300" t="s">
        <v>351</v>
      </c>
      <c r="I194" s="300" t="s">
        <v>352</v>
      </c>
    </row>
    <row r="195" spans="2:9" hidden="1">
      <c r="B195" s="1770"/>
      <c r="C195" s="1770"/>
      <c r="D195" s="1771"/>
      <c r="E195" s="1115"/>
      <c r="F195" s="1116"/>
      <c r="G195" s="1116"/>
      <c r="H195" s="1116"/>
      <c r="I195" s="1116"/>
    </row>
    <row r="196" spans="2:9" hidden="1">
      <c r="B196" s="1770"/>
      <c r="C196" s="1770"/>
      <c r="D196" s="1771"/>
      <c r="E196" s="1116"/>
      <c r="F196" s="1116"/>
      <c r="G196" s="1116"/>
      <c r="H196" s="1116"/>
      <c r="I196" s="1116"/>
    </row>
    <row r="197" spans="2:9" hidden="1">
      <c r="B197" s="1770"/>
      <c r="C197" s="1770"/>
      <c r="D197" s="1771"/>
      <c r="E197" s="1116"/>
      <c r="F197" s="1116"/>
      <c r="G197" s="1116"/>
      <c r="H197" s="1116"/>
      <c r="I197" s="1116"/>
    </row>
    <row r="198" spans="2:9" hidden="1">
      <c r="B198" s="1770"/>
      <c r="C198" s="1770"/>
      <c r="D198" s="1771"/>
      <c r="E198" s="1116"/>
      <c r="F198" s="1116"/>
      <c r="G198" s="1116"/>
      <c r="H198" s="1116"/>
      <c r="I198" s="1116"/>
    </row>
    <row r="199" spans="2:9" hidden="1">
      <c r="B199" s="1772"/>
      <c r="C199" s="1772"/>
      <c r="D199" s="1773"/>
      <c r="E199" s="1115"/>
      <c r="F199" s="1116"/>
      <c r="G199" s="1116"/>
      <c r="H199" s="1116"/>
      <c r="I199" s="1116"/>
    </row>
    <row r="200" spans="2:9" hidden="1">
      <c r="B200" s="1784" t="str">
        <f>IF('1) Data Entry'!E168="","Not Used","TOTAL- "&amp;'1) Data Entry'!G$3&amp;"-"&amp;'1) Data Entry'!E168)</f>
        <v>Not Used</v>
      </c>
      <c r="C200" s="1784"/>
      <c r="D200" s="1784"/>
      <c r="E200" s="301">
        <f>SUM(E195:E199)</f>
        <v>0</v>
      </c>
      <c r="F200" s="301">
        <f>SUM(F195:F199)</f>
        <v>0</v>
      </c>
      <c r="G200" s="301">
        <f>SUM(G195:G199)</f>
        <v>0</v>
      </c>
      <c r="H200" s="301">
        <f>SUM(H195:H199)</f>
        <v>0</v>
      </c>
      <c r="I200" s="301">
        <f>SUM(I195:I199)</f>
        <v>0</v>
      </c>
    </row>
    <row r="201" spans="2:9" hidden="1">
      <c r="B201" s="1785"/>
      <c r="C201" s="1785"/>
      <c r="D201" s="1785"/>
      <c r="E201" s="116"/>
      <c r="F201" s="116"/>
      <c r="G201" s="116"/>
      <c r="H201" s="116"/>
      <c r="I201" s="116"/>
    </row>
    <row r="202" spans="2:9" hidden="1">
      <c r="B202" s="1780"/>
      <c r="C202" s="1780"/>
      <c r="D202" s="1780"/>
      <c r="E202" s="300" t="s">
        <v>348</v>
      </c>
      <c r="F202" s="300" t="s">
        <v>349</v>
      </c>
      <c r="G202" s="300" t="s">
        <v>350</v>
      </c>
      <c r="H202" s="300" t="s">
        <v>351</v>
      </c>
      <c r="I202" s="300" t="s">
        <v>352</v>
      </c>
    </row>
    <row r="203" spans="2:9" hidden="1">
      <c r="B203" s="1770"/>
      <c r="C203" s="1770"/>
      <c r="D203" s="1771"/>
      <c r="E203" s="1115"/>
      <c r="F203" s="1116"/>
      <c r="G203" s="1116"/>
      <c r="H203" s="1116"/>
      <c r="I203" s="1116"/>
    </row>
    <row r="204" spans="2:9" hidden="1">
      <c r="B204" s="1770"/>
      <c r="C204" s="1770"/>
      <c r="D204" s="1771"/>
      <c r="E204" s="1116"/>
      <c r="F204" s="1116"/>
      <c r="G204" s="1116"/>
      <c r="H204" s="1116"/>
      <c r="I204" s="1116"/>
    </row>
    <row r="205" spans="2:9" hidden="1">
      <c r="B205" s="1770"/>
      <c r="C205" s="1770"/>
      <c r="D205" s="1771"/>
      <c r="E205" s="1116"/>
      <c r="F205" s="1116"/>
      <c r="G205" s="1116"/>
      <c r="H205" s="1116"/>
      <c r="I205" s="1116"/>
    </row>
    <row r="206" spans="2:9" hidden="1">
      <c r="B206" s="1770"/>
      <c r="C206" s="1770"/>
      <c r="D206" s="1771"/>
      <c r="E206" s="1116"/>
      <c r="F206" s="1116"/>
      <c r="G206" s="1116"/>
      <c r="H206" s="1116"/>
      <c r="I206" s="1116"/>
    </row>
    <row r="207" spans="2:9" hidden="1">
      <c r="B207" s="1772"/>
      <c r="C207" s="1772"/>
      <c r="D207" s="1773"/>
      <c r="E207" s="1115"/>
      <c r="F207" s="1116"/>
      <c r="G207" s="1116"/>
      <c r="H207" s="1116"/>
      <c r="I207" s="1116"/>
    </row>
    <row r="208" spans="2:9" hidden="1">
      <c r="B208" s="1784" t="str">
        <f>IF('1) Data Entry'!E176="","Not Used","TOTAL- "&amp;'1) Data Entry'!G$3&amp;"-"&amp;'1) Data Entry'!E176)</f>
        <v>Not Used</v>
      </c>
      <c r="C208" s="1784"/>
      <c r="D208" s="1784"/>
      <c r="E208" s="301">
        <f>SUM(E203:E207)</f>
        <v>0</v>
      </c>
      <c r="F208" s="301">
        <f>SUM(F203:F207)</f>
        <v>0</v>
      </c>
      <c r="G208" s="301">
        <f>SUM(G203:G207)</f>
        <v>0</v>
      </c>
      <c r="H208" s="301">
        <f>SUM(H203:H207)</f>
        <v>0</v>
      </c>
      <c r="I208" s="301">
        <f>SUM(I203:I207)</f>
        <v>0</v>
      </c>
    </row>
    <row r="209" spans="1:1">
      <c r="A209" s="1175" t="s">
        <v>359</v>
      </c>
    </row>
  </sheetData>
  <sheetProtection algorithmName="SHA-512" hashValue="JHIv5x6QZ3bdK3iF9NTNmdGQzYhLMQ6PuGWsNI+vlRcpFXT8+Sah3grzOihU40LYLHhxdYzuFPnv6KH5+025cg==" saltValue="5vDlGQ2HGXN3dzmoa+Jd4w==" spinCount="100000" sheet="1" objects="1" scenarios="1"/>
  <mergeCells count="185">
    <mergeCell ref="B128:D128"/>
    <mergeCell ref="B129:D129"/>
    <mergeCell ref="B76:C76"/>
    <mergeCell ref="A1:K1"/>
    <mergeCell ref="B204:D204"/>
    <mergeCell ref="B199:D199"/>
    <mergeCell ref="B181:D181"/>
    <mergeCell ref="B182:D182"/>
    <mergeCell ref="B185:D185"/>
    <mergeCell ref="B184:D184"/>
    <mergeCell ref="B183:D183"/>
    <mergeCell ref="B164:D164"/>
    <mergeCell ref="B191:D191"/>
    <mergeCell ref="B172:D172"/>
    <mergeCell ref="B197:D197"/>
    <mergeCell ref="B198:D198"/>
    <mergeCell ref="B175:D175"/>
    <mergeCell ref="B178:D178"/>
    <mergeCell ref="B179:D179"/>
    <mergeCell ref="B177:D177"/>
    <mergeCell ref="B176:D176"/>
    <mergeCell ref="B180:D180"/>
    <mergeCell ref="B173:D173"/>
    <mergeCell ref="B155:D155"/>
    <mergeCell ref="B158:D158"/>
    <mergeCell ref="B156:D156"/>
    <mergeCell ref="B157:D157"/>
    <mergeCell ref="B161:D161"/>
    <mergeCell ref="B130:D130"/>
    <mergeCell ref="B131:D131"/>
    <mergeCell ref="B132:D132"/>
    <mergeCell ref="B135:D135"/>
    <mergeCell ref="B133:D133"/>
    <mergeCell ref="B138:D138"/>
    <mergeCell ref="B139:D139"/>
    <mergeCell ref="B154:D154"/>
    <mergeCell ref="B149:D149"/>
    <mergeCell ref="B150:D150"/>
    <mergeCell ref="B146:D146"/>
    <mergeCell ref="B151:D151"/>
    <mergeCell ref="B153:D153"/>
    <mergeCell ref="B152:D152"/>
    <mergeCell ref="B145:I145"/>
    <mergeCell ref="B160:D160"/>
    <mergeCell ref="B159:D159"/>
    <mergeCell ref="B49:D49"/>
    <mergeCell ref="B16:D16"/>
    <mergeCell ref="B9:D9"/>
    <mergeCell ref="B32:D32"/>
    <mergeCell ref="B33:D33"/>
    <mergeCell ref="B34:D34"/>
    <mergeCell ref="B30:D30"/>
    <mergeCell ref="B31:D31"/>
    <mergeCell ref="B20:C20"/>
    <mergeCell ref="B28:C28"/>
    <mergeCell ref="B36:C36"/>
    <mergeCell ref="B44:C44"/>
    <mergeCell ref="B23:D23"/>
    <mergeCell ref="B11:D11"/>
    <mergeCell ref="B22:D22"/>
    <mergeCell ref="B208:D208"/>
    <mergeCell ref="B186:D186"/>
    <mergeCell ref="B187:D187"/>
    <mergeCell ref="B192:D192"/>
    <mergeCell ref="B194:D194"/>
    <mergeCell ref="B195:D195"/>
    <mergeCell ref="B190:D190"/>
    <mergeCell ref="B193:D193"/>
    <mergeCell ref="B206:D206"/>
    <mergeCell ref="B189:D189"/>
    <mergeCell ref="B207:D207"/>
    <mergeCell ref="B200:D200"/>
    <mergeCell ref="B205:D205"/>
    <mergeCell ref="B202:D202"/>
    <mergeCell ref="B203:D203"/>
    <mergeCell ref="B188:D188"/>
    <mergeCell ref="B196:D196"/>
    <mergeCell ref="B201:D201"/>
    <mergeCell ref="B174:D174"/>
    <mergeCell ref="B83:D83"/>
    <mergeCell ref="B147:D147"/>
    <mergeCell ref="B141:D141"/>
    <mergeCell ref="B140:D140"/>
    <mergeCell ref="B148:D148"/>
    <mergeCell ref="B91:D91"/>
    <mergeCell ref="B127:D127"/>
    <mergeCell ref="B84:D84"/>
    <mergeCell ref="B168:D168"/>
    <mergeCell ref="B170:D170"/>
    <mergeCell ref="B171:D171"/>
    <mergeCell ref="B165:D165"/>
    <mergeCell ref="B166:D166"/>
    <mergeCell ref="B167:D167"/>
    <mergeCell ref="B169:D169"/>
    <mergeCell ref="B116:D116"/>
    <mergeCell ref="B119:D119"/>
    <mergeCell ref="B92:D92"/>
    <mergeCell ref="B90:D90"/>
    <mergeCell ref="B136:D136"/>
    <mergeCell ref="B137:D137"/>
    <mergeCell ref="B162:D162"/>
    <mergeCell ref="B163:D163"/>
    <mergeCell ref="B120:D120"/>
    <mergeCell ref="B121:D121"/>
    <mergeCell ref="B125:D125"/>
    <mergeCell ref="B122:D122"/>
    <mergeCell ref="B123:D123"/>
    <mergeCell ref="B124:D124"/>
    <mergeCell ref="B114:D114"/>
    <mergeCell ref="B115:D115"/>
    <mergeCell ref="B87:D87"/>
    <mergeCell ref="B95:D95"/>
    <mergeCell ref="B98:D98"/>
    <mergeCell ref="B99:D99"/>
    <mergeCell ref="B93:D93"/>
    <mergeCell ref="B111:D111"/>
    <mergeCell ref="B101:D101"/>
    <mergeCell ref="B100:D100"/>
    <mergeCell ref="B103:D103"/>
    <mergeCell ref="B97:D97"/>
    <mergeCell ref="B96:D96"/>
    <mergeCell ref="B88:D88"/>
    <mergeCell ref="B89:D89"/>
    <mergeCell ref="B105:D105"/>
    <mergeCell ref="B109:D109"/>
    <mergeCell ref="B104:D104"/>
    <mergeCell ref="B108:D108"/>
    <mergeCell ref="B113:D113"/>
    <mergeCell ref="B117:D117"/>
    <mergeCell ref="B112:D112"/>
    <mergeCell ref="B106:D106"/>
    <mergeCell ref="B107:D107"/>
    <mergeCell ref="B66:D66"/>
    <mergeCell ref="B67:D67"/>
    <mergeCell ref="B75:D75"/>
    <mergeCell ref="B68:C68"/>
    <mergeCell ref="B72:D72"/>
    <mergeCell ref="B73:D73"/>
    <mergeCell ref="B74:D74"/>
    <mergeCell ref="B70:D70"/>
    <mergeCell ref="B71:D71"/>
    <mergeCell ref="B79:I79"/>
    <mergeCell ref="B85:D85"/>
    <mergeCell ref="B82:D82"/>
    <mergeCell ref="D80:D81"/>
    <mergeCell ref="B4:I4"/>
    <mergeCell ref="B13:I13"/>
    <mergeCell ref="B5:D5"/>
    <mergeCell ref="B7:D7"/>
    <mergeCell ref="B27:D27"/>
    <mergeCell ref="B18:D18"/>
    <mergeCell ref="B14:D14"/>
    <mergeCell ref="B17:D17"/>
    <mergeCell ref="B6:D6"/>
    <mergeCell ref="B19:D19"/>
    <mergeCell ref="B15:D15"/>
    <mergeCell ref="B10:D10"/>
    <mergeCell ref="B24:D24"/>
    <mergeCell ref="B25:D25"/>
    <mergeCell ref="B26:D26"/>
    <mergeCell ref="B8:D8"/>
    <mergeCell ref="B64:D64"/>
    <mergeCell ref="B55:D55"/>
    <mergeCell ref="B65:D65"/>
    <mergeCell ref="B50:D50"/>
    <mergeCell ref="B35:D35"/>
    <mergeCell ref="B38:D38"/>
    <mergeCell ref="B39:D39"/>
    <mergeCell ref="B43:D43"/>
    <mergeCell ref="B52:C52"/>
    <mergeCell ref="B60:C60"/>
    <mergeCell ref="B46:D46"/>
    <mergeCell ref="B47:D47"/>
    <mergeCell ref="B51:D51"/>
    <mergeCell ref="B59:D59"/>
    <mergeCell ref="B54:D54"/>
    <mergeCell ref="B62:D62"/>
    <mergeCell ref="B63:D63"/>
    <mergeCell ref="B56:D56"/>
    <mergeCell ref="B57:D57"/>
    <mergeCell ref="B58:D58"/>
    <mergeCell ref="B40:D40"/>
    <mergeCell ref="B41:D41"/>
    <mergeCell ref="B42:D42"/>
    <mergeCell ref="B48:D48"/>
  </mergeCells>
  <phoneticPr fontId="11" type="noConversion"/>
  <pageMargins left="0.7" right="0.7" top="0.75" bottom="0.75" header="0.3" footer="0.3"/>
  <pageSetup paperSize="17" fitToHeight="0" orientation="landscape" r:id="rId1"/>
  <headerFooter alignWithMargins="0">
    <oddFooter>&amp;R&amp;F
Tab: &amp;A</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autoPageBreaks="0"/>
  </sheetPr>
  <dimension ref="A1:AJ355"/>
  <sheetViews>
    <sheetView showGridLines="0" topLeftCell="A40" zoomScale="85" zoomScaleNormal="85" zoomScaleSheetLayoutView="80" workbookViewId="0">
      <selection activeCell="E70" sqref="E70"/>
    </sheetView>
  </sheetViews>
  <sheetFormatPr defaultColWidth="9.109375" defaultRowHeight="15.6"/>
  <cols>
    <col min="1" max="1" width="7.109375" style="64" customWidth="1"/>
    <col min="2" max="2" width="25.5546875" style="64" customWidth="1"/>
    <col min="3" max="3" width="10.44140625" style="64" customWidth="1"/>
    <col min="4" max="4" width="2" style="64" customWidth="1"/>
    <col min="5" max="5" width="29.5546875" style="64" customWidth="1"/>
    <col min="6" max="6" width="4.44140625" style="64" customWidth="1"/>
    <col min="7" max="7" width="12.6640625" style="64" customWidth="1"/>
    <col min="8" max="8" width="2.109375" style="64" customWidth="1"/>
    <col min="9" max="9" width="12.109375" style="64" bestFit="1" customWidth="1"/>
    <col min="10" max="10" width="2.6640625" style="64" customWidth="1"/>
    <col min="11" max="11" width="12.33203125" style="64" customWidth="1"/>
    <col min="12" max="12" width="2.5546875" style="64" customWidth="1"/>
    <col min="13" max="13" width="9.6640625" style="64" bestFit="1" customWidth="1"/>
    <col min="14" max="14" width="3.109375" style="64" customWidth="1"/>
    <col min="15" max="15" width="10.44140625" style="64" bestFit="1" customWidth="1"/>
    <col min="16" max="16" width="6" style="64" customWidth="1"/>
    <col min="17" max="17" width="16.5546875" style="64" customWidth="1"/>
    <col min="18" max="18" width="2.6640625" style="64" customWidth="1"/>
    <col min="19" max="19" width="9.88671875" style="64" bestFit="1" customWidth="1"/>
    <col min="20" max="20" width="2.6640625" style="64" customWidth="1"/>
    <col min="21" max="21" width="11.6640625" style="599" customWidth="1"/>
    <col min="22" max="22" width="19.44140625" style="617" customWidth="1"/>
    <col min="23" max="23" width="11.88671875" style="64" customWidth="1"/>
    <col min="24" max="24" width="12.5546875" style="64" customWidth="1"/>
    <col min="25" max="28" width="9.109375" style="64"/>
    <col min="29" max="29" width="10" style="64" bestFit="1" customWidth="1"/>
    <col min="30" max="32" width="9.109375" style="64"/>
    <col min="33" max="33" width="10.44140625" style="64" customWidth="1"/>
    <col min="34" max="16384" width="9.109375" style="64"/>
  </cols>
  <sheetData>
    <row r="1" spans="1:33" ht="17.399999999999999">
      <c r="A1" s="188"/>
      <c r="B1" s="189"/>
      <c r="C1" s="188"/>
      <c r="D1" s="188"/>
      <c r="E1" s="188"/>
      <c r="F1" s="188"/>
      <c r="G1" s="188"/>
      <c r="H1" s="188"/>
      <c r="I1" s="188"/>
      <c r="J1" s="188"/>
      <c r="K1" s="188"/>
      <c r="L1" s="188"/>
      <c r="M1" s="188"/>
      <c r="N1" s="188"/>
      <c r="O1" s="188"/>
      <c r="P1" s="188"/>
      <c r="Q1" s="188"/>
      <c r="R1" s="188"/>
      <c r="S1" s="188"/>
      <c r="T1" s="188"/>
      <c r="U1" s="600" t="s">
        <v>360</v>
      </c>
      <c r="V1" s="617" t="s">
        <v>361</v>
      </c>
    </row>
    <row r="2" spans="1:33" ht="12" customHeight="1">
      <c r="A2" s="188"/>
      <c r="B2" s="189"/>
      <c r="C2" s="188"/>
      <c r="D2" s="188"/>
      <c r="E2" s="188"/>
      <c r="F2" s="680"/>
      <c r="G2" s="188"/>
      <c r="H2" s="188"/>
      <c r="I2" s="188"/>
      <c r="J2" s="188"/>
      <c r="K2" s="188"/>
      <c r="L2" s="188"/>
      <c r="M2" s="188"/>
      <c r="N2" s="188"/>
      <c r="O2" s="188"/>
      <c r="P2" s="188"/>
      <c r="Q2" s="188"/>
      <c r="R2" s="188"/>
      <c r="S2" s="188"/>
      <c r="T2" s="188"/>
      <c r="U2" s="600"/>
    </row>
    <row r="3" spans="1:33">
      <c r="A3" s="188"/>
      <c r="B3" s="190" t="s">
        <v>362</v>
      </c>
      <c r="C3" s="190"/>
      <c r="D3" s="190"/>
      <c r="E3" s="190"/>
      <c r="F3" s="190"/>
      <c r="G3" s="188"/>
      <c r="H3" s="188"/>
      <c r="I3" s="191">
        <f>Relay_Location</f>
        <v>0</v>
      </c>
      <c r="J3" s="191"/>
      <c r="K3" s="192"/>
      <c r="L3" s="192"/>
      <c r="M3" s="190" t="s">
        <v>363</v>
      </c>
      <c r="N3" s="190"/>
      <c r="O3" s="191">
        <f>Remote_Location</f>
        <v>0</v>
      </c>
      <c r="P3" s="192"/>
      <c r="Q3" s="192"/>
      <c r="R3" s="192"/>
      <c r="S3" s="188"/>
      <c r="T3" s="188"/>
      <c r="U3" s="600"/>
    </row>
    <row r="4" spans="1:33">
      <c r="A4" s="188"/>
      <c r="B4" s="188"/>
      <c r="C4" s="188"/>
      <c r="D4" s="188"/>
      <c r="E4" s="188"/>
      <c r="F4" s="188"/>
      <c r="G4" s="188"/>
      <c r="H4" s="188"/>
      <c r="I4" s="1176"/>
      <c r="J4" s="1176"/>
      <c r="K4" s="188"/>
      <c r="L4" s="188"/>
      <c r="M4" s="188"/>
      <c r="N4" s="188"/>
      <c r="O4" s="1176"/>
      <c r="P4" s="188"/>
      <c r="Q4" s="188"/>
      <c r="R4" s="188"/>
      <c r="S4" s="188"/>
      <c r="T4" s="188"/>
      <c r="U4" s="600"/>
    </row>
    <row r="5" spans="1:33">
      <c r="A5" s="188"/>
      <c r="B5" s="188"/>
      <c r="C5" s="188"/>
      <c r="D5" s="188"/>
      <c r="E5" s="188"/>
      <c r="F5" s="1177"/>
      <c r="G5" s="188"/>
      <c r="H5" s="188"/>
      <c r="I5" s="188"/>
      <c r="J5" s="188"/>
      <c r="K5" s="188"/>
      <c r="L5" s="188"/>
      <c r="M5" s="188"/>
      <c r="N5" s="188"/>
      <c r="O5" s="188"/>
      <c r="P5" s="188"/>
      <c r="Q5" s="188"/>
      <c r="R5" s="188"/>
      <c r="S5" s="188"/>
      <c r="T5" s="188"/>
      <c r="U5" s="600"/>
    </row>
    <row r="6" spans="1:33" ht="15.75" customHeight="1">
      <c r="A6" s="188"/>
      <c r="B6" s="193" t="s">
        <v>364</v>
      </c>
      <c r="C6" s="194" t="s">
        <v>365</v>
      </c>
      <c r="D6" s="188"/>
      <c r="E6" s="1016">
        <f ca="1">HYPERLINK("#"&amp;CELL("address",'1) Data Entry'!Line_Limit),'1) Data Entry'!Line_Limit)</f>
        <v>0</v>
      </c>
      <c r="F6" s="1177" t="s">
        <v>69</v>
      </c>
      <c r="G6" s="1177" t="s">
        <v>366</v>
      </c>
      <c r="H6" s="1375"/>
      <c r="I6" s="1176"/>
      <c r="J6" s="1176"/>
      <c r="K6" s="931"/>
      <c r="L6" s="211"/>
      <c r="M6" s="211"/>
      <c r="N6" s="211"/>
      <c r="O6" s="211"/>
      <c r="P6" s="211"/>
      <c r="Q6" s="211"/>
      <c r="R6" s="211"/>
      <c r="S6" s="211"/>
      <c r="T6" s="188"/>
      <c r="U6" s="600"/>
    </row>
    <row r="7" spans="1:33">
      <c r="A7" s="188"/>
      <c r="B7" s="196" t="s">
        <v>367</v>
      </c>
      <c r="C7" s="194" t="s">
        <v>365</v>
      </c>
      <c r="D7" s="188"/>
      <c r="E7" s="1018">
        <f ca="1">HYPERLINK("#"&amp;CELL("address",'1) Data Entry'!CTR),'1) Data Entry'!CTR)</f>
        <v>0</v>
      </c>
      <c r="F7" s="1178" t="s">
        <v>368</v>
      </c>
      <c r="G7" s="197">
        <f ca="1">E7/5</f>
        <v>0</v>
      </c>
      <c r="H7" s="198" t="s">
        <v>183</v>
      </c>
      <c r="I7" s="1176"/>
      <c r="J7" s="1176"/>
      <c r="K7" s="211"/>
      <c r="L7" s="211"/>
      <c r="M7" s="211"/>
      <c r="N7" s="211"/>
      <c r="O7" s="211"/>
      <c r="P7" s="211"/>
      <c r="Q7" s="211"/>
      <c r="R7" s="211"/>
      <c r="S7" s="211"/>
      <c r="T7" s="188"/>
      <c r="U7" s="600"/>
    </row>
    <row r="8" spans="1:33">
      <c r="A8" s="188"/>
      <c r="B8" s="196" t="s">
        <v>369</v>
      </c>
      <c r="C8" s="194" t="s">
        <v>365</v>
      </c>
      <c r="D8" s="188"/>
      <c r="E8" s="1018">
        <f ca="1">HYPERLINK("#"&amp;CELL("address",'1) Data Entry'!PTR),'1) Data Entry'!PTR)</f>
        <v>0</v>
      </c>
      <c r="F8" s="1178" t="s">
        <v>183</v>
      </c>
      <c r="G8" s="200"/>
      <c r="H8" s="200"/>
      <c r="I8" s="1176"/>
      <c r="J8" s="1176"/>
      <c r="K8" s="211"/>
      <c r="L8" s="211"/>
      <c r="M8" s="211"/>
      <c r="N8" s="211"/>
      <c r="O8" s="211"/>
      <c r="P8" s="211"/>
      <c r="Q8" s="211"/>
      <c r="R8" s="211"/>
      <c r="S8" s="211"/>
      <c r="T8" s="188"/>
      <c r="U8" s="600"/>
    </row>
    <row r="9" spans="1:33">
      <c r="A9" s="188"/>
      <c r="B9" s="196" t="s">
        <v>370</v>
      </c>
      <c r="C9" s="194" t="s">
        <v>365</v>
      </c>
      <c r="D9" s="188"/>
      <c r="E9" s="1009" t="e">
        <f ca="1">HYPERLINK("#"&amp;CELL("address",'1) Data Entry'!CTR_PTR),'1) Data Entry'!CTR_PTR)</f>
        <v>#DIV/0!</v>
      </c>
      <c r="F9" s="1179"/>
      <c r="G9" s="201"/>
      <c r="H9" s="201"/>
      <c r="I9" s="1176"/>
      <c r="J9" s="1176"/>
      <c r="K9" s="1853" t="s">
        <v>371</v>
      </c>
      <c r="L9" s="1853"/>
      <c r="M9" s="1853"/>
      <c r="N9" s="1853"/>
      <c r="O9" s="1853"/>
      <c r="P9" s="1853"/>
      <c r="Q9" s="1853"/>
      <c r="R9" s="1853"/>
      <c r="S9" s="1853"/>
      <c r="T9" s="1853"/>
      <c r="U9" s="600"/>
      <c r="W9" s="694"/>
      <c r="X9" s="694"/>
      <c r="Y9" s="694"/>
    </row>
    <row r="10" spans="1:33">
      <c r="A10" s="188"/>
      <c r="B10" s="202" t="s">
        <v>372</v>
      </c>
      <c r="C10" s="194" t="s">
        <v>365</v>
      </c>
      <c r="D10" s="188"/>
      <c r="E10" s="1017">
        <f ca="1">HYPERLINK("#"&amp;CELL("address",Nominal_System_Voltage),Nominal_System_Voltage)</f>
        <v>0</v>
      </c>
      <c r="F10" s="1180" t="s">
        <v>373</v>
      </c>
      <c r="G10" s="188"/>
      <c r="H10" s="188"/>
      <c r="I10" s="1176"/>
      <c r="J10" s="1176"/>
      <c r="K10" s="1853"/>
      <c r="L10" s="1853"/>
      <c r="M10" s="1853"/>
      <c r="N10" s="1853"/>
      <c r="O10" s="1853"/>
      <c r="P10" s="1853"/>
      <c r="Q10" s="1853"/>
      <c r="R10" s="1853"/>
      <c r="S10" s="1853"/>
      <c r="T10" s="1853"/>
      <c r="U10" s="600"/>
    </row>
    <row r="11" spans="1:33">
      <c r="A11" s="188"/>
      <c r="B11"/>
      <c r="C11"/>
      <c r="D11"/>
      <c r="E11"/>
      <c r="F11"/>
      <c r="G11"/>
      <c r="H11" s="1375"/>
      <c r="I11"/>
      <c r="J11" s="1176"/>
      <c r="K11" s="1853"/>
      <c r="L11" s="1853"/>
      <c r="M11" s="1853"/>
      <c r="N11" s="1853"/>
      <c r="O11" s="1853"/>
      <c r="P11" s="1853"/>
      <c r="Q11" s="1853"/>
      <c r="R11" s="1853"/>
      <c r="S11" s="1853"/>
      <c r="T11" s="1853"/>
      <c r="U11" s="600"/>
    </row>
    <row r="12" spans="1:33">
      <c r="A12" s="188"/>
      <c r="B12" s="202"/>
      <c r="C12" s="202"/>
      <c r="D12" s="188"/>
      <c r="E12" s="204"/>
      <c r="F12" s="204"/>
      <c r="G12" s="201"/>
      <c r="H12" s="201"/>
      <c r="I12" s="205"/>
      <c r="J12" s="205"/>
      <c r="K12" s="1853"/>
      <c r="L12" s="1853"/>
      <c r="M12" s="1853"/>
      <c r="N12" s="1853"/>
      <c r="O12" s="1853"/>
      <c r="P12" s="1853"/>
      <c r="Q12" s="1853"/>
      <c r="R12" s="1853"/>
      <c r="S12" s="1853"/>
      <c r="T12" s="1853"/>
      <c r="U12" s="600"/>
    </row>
    <row r="13" spans="1:33" ht="15" customHeight="1">
      <c r="A13" s="188"/>
      <c r="B13" s="190" t="s">
        <v>374</v>
      </c>
      <c r="C13" s="188"/>
      <c r="D13" s="188"/>
      <c r="E13" s="188"/>
      <c r="F13" s="188"/>
      <c r="G13" s="723" t="s">
        <v>375</v>
      </c>
      <c r="H13" s="723"/>
      <c r="I13" s="188"/>
      <c r="J13" s="188"/>
      <c r="K13" s="1853"/>
      <c r="L13" s="1853"/>
      <c r="M13" s="1853"/>
      <c r="N13" s="1853"/>
      <c r="O13" s="1853"/>
      <c r="P13" s="1853"/>
      <c r="Q13" s="1853"/>
      <c r="R13" s="1853"/>
      <c r="S13" s="1853"/>
      <c r="T13" s="1853"/>
      <c r="U13" s="600"/>
    </row>
    <row r="14" spans="1:33" ht="11.25" customHeight="1">
      <c r="A14" s="188"/>
      <c r="B14" s="190"/>
      <c r="C14" s="188"/>
      <c r="D14" s="188"/>
      <c r="E14" s="188"/>
      <c r="F14" s="188"/>
      <c r="G14" s="723"/>
      <c r="H14" s="723"/>
      <c r="I14" s="188"/>
      <c r="J14" s="188"/>
      <c r="K14" s="1853"/>
      <c r="L14" s="1853"/>
      <c r="M14" s="1853"/>
      <c r="N14" s="1853"/>
      <c r="O14" s="1853"/>
      <c r="P14" s="1853"/>
      <c r="Q14" s="1853"/>
      <c r="R14" s="1853"/>
      <c r="S14" s="1853"/>
      <c r="T14" s="1853"/>
      <c r="U14" s="600"/>
    </row>
    <row r="15" spans="1:33" ht="31.5" customHeight="1" thickBot="1">
      <c r="A15" s="188"/>
      <c r="B15" s="190"/>
      <c r="C15" s="188"/>
      <c r="D15" s="188"/>
      <c r="E15" s="188"/>
      <c r="F15" s="188"/>
      <c r="G15" s="188"/>
      <c r="H15" s="188"/>
      <c r="I15" s="716" t="s">
        <v>376</v>
      </c>
      <c r="J15" s="188"/>
      <c r="K15" s="1860" t="s">
        <v>377</v>
      </c>
      <c r="L15" s="1861"/>
      <c r="M15" s="1861"/>
      <c r="N15" s="1861"/>
      <c r="O15" s="1861"/>
      <c r="P15" s="1861"/>
      <c r="Q15" s="1861"/>
      <c r="R15" s="1861"/>
      <c r="S15" s="1861"/>
      <c r="T15" s="1861"/>
      <c r="U15" s="1861"/>
      <c r="V15" s="1861"/>
    </row>
    <row r="16" spans="1:33" ht="35.25" customHeight="1" thickBot="1">
      <c r="A16" s="188"/>
      <c r="B16" s="190"/>
      <c r="C16" s="188"/>
      <c r="D16" s="188"/>
      <c r="E16" s="188"/>
      <c r="F16" s="188"/>
      <c r="G16" s="188"/>
      <c r="H16" s="188"/>
      <c r="I16" s="717" t="s">
        <v>378</v>
      </c>
      <c r="J16" s="188"/>
      <c r="K16" s="188"/>
      <c r="L16" s="1399"/>
      <c r="M16" s="1399"/>
      <c r="N16" s="1399"/>
      <c r="O16" s="1399"/>
      <c r="P16" s="1399"/>
      <c r="Q16" s="1399"/>
      <c r="R16" s="1399"/>
      <c r="S16" s="1399"/>
      <c r="T16" s="188"/>
      <c r="U16" s="600"/>
      <c r="W16" s="1854" t="s">
        <v>379</v>
      </c>
      <c r="X16" s="1855"/>
      <c r="Y16" s="1855"/>
      <c r="Z16" s="1856"/>
      <c r="AA16" s="853"/>
      <c r="AB16" s="853"/>
      <c r="AC16" s="853"/>
      <c r="AD16" s="853"/>
      <c r="AE16" s="853"/>
      <c r="AF16" s="853"/>
      <c r="AG16" s="853"/>
    </row>
    <row r="17" spans="1:33" ht="43.5" customHeight="1">
      <c r="A17" s="996"/>
      <c r="B17" s="956"/>
      <c r="C17" s="997"/>
      <c r="D17" s="997"/>
      <c r="E17" s="997" t="s">
        <v>380</v>
      </c>
      <c r="F17" s="772" t="s">
        <v>365</v>
      </c>
      <c r="G17" s="1112"/>
      <c r="H17" s="996"/>
      <c r="I17" s="1105" t="s">
        <v>381</v>
      </c>
      <c r="J17" s="998"/>
      <c r="K17" s="1845" t="s">
        <v>382</v>
      </c>
      <c r="L17" s="1845"/>
      <c r="M17" s="1845"/>
      <c r="N17" s="1845"/>
      <c r="O17" s="1845"/>
      <c r="P17" s="1845"/>
      <c r="Q17" s="1845"/>
      <c r="R17" s="1845"/>
      <c r="S17" s="1845"/>
      <c r="T17" s="1845"/>
      <c r="U17" s="1845"/>
      <c r="V17" s="1845"/>
      <c r="W17" s="1857"/>
      <c r="X17" s="1858"/>
      <c r="Y17" s="1858"/>
      <c r="Z17" s="1859"/>
      <c r="AA17" s="853"/>
      <c r="AB17" s="853"/>
      <c r="AC17" s="853"/>
      <c r="AD17" s="853"/>
      <c r="AE17" s="853"/>
      <c r="AF17" s="853"/>
      <c r="AG17" s="853"/>
    </row>
    <row r="18" spans="1:33" ht="15" customHeight="1">
      <c r="A18" s="188"/>
      <c r="B18"/>
      <c r="C18" s="711"/>
      <c r="D18" s="711"/>
      <c r="E18" s="711" t="s">
        <v>383</v>
      </c>
      <c r="F18" s="680" t="s">
        <v>365</v>
      </c>
      <c r="G18" s="1112"/>
      <c r="H18" s="188"/>
      <c r="I18" s="735" t="s">
        <v>384</v>
      </c>
      <c r="J18" s="712"/>
      <c r="K18" s="713" t="s">
        <v>385</v>
      </c>
      <c r="L18" s="1399"/>
      <c r="M18" s="1399"/>
      <c r="N18" s="1399"/>
      <c r="O18" s="1399"/>
      <c r="P18" s="1399"/>
      <c r="Q18" s="1399"/>
      <c r="R18" s="1399"/>
      <c r="S18" s="1399"/>
      <c r="T18" s="188"/>
      <c r="U18" s="600"/>
      <c r="W18" s="1837"/>
      <c r="X18" s="1788"/>
      <c r="Y18" s="1788"/>
      <c r="Z18" s="1838"/>
      <c r="AA18" s="853"/>
      <c r="AB18" s="853"/>
      <c r="AC18" s="853"/>
      <c r="AD18" s="853"/>
      <c r="AE18" s="853"/>
      <c r="AF18" s="853"/>
      <c r="AG18" s="853"/>
    </row>
    <row r="19" spans="1:33" ht="15" customHeight="1">
      <c r="A19" s="188"/>
      <c r="B19"/>
      <c r="C19" s="711"/>
      <c r="D19" s="711"/>
      <c r="E19" s="711" t="s">
        <v>386</v>
      </c>
      <c r="F19" s="680" t="s">
        <v>365</v>
      </c>
      <c r="G19" s="1112"/>
      <c r="H19" s="188"/>
      <c r="I19" s="392" t="s">
        <v>387</v>
      </c>
      <c r="J19" s="712"/>
      <c r="K19" s="713" t="s">
        <v>388</v>
      </c>
      <c r="L19" s="1399"/>
      <c r="M19" s="1399"/>
      <c r="N19" s="1399"/>
      <c r="O19" s="1399"/>
      <c r="P19" s="1399"/>
      <c r="Q19" s="1399"/>
      <c r="R19" s="1399"/>
      <c r="S19" s="1399"/>
      <c r="T19" s="188"/>
      <c r="U19" s="600"/>
      <c r="W19" s="1837"/>
      <c r="X19" s="1788"/>
      <c r="Y19" s="1788"/>
      <c r="Z19" s="1838"/>
      <c r="AA19" s="853"/>
      <c r="AB19" s="853"/>
      <c r="AC19" s="853"/>
      <c r="AD19" s="853"/>
      <c r="AE19" s="853"/>
      <c r="AF19" s="853"/>
      <c r="AG19" s="853"/>
    </row>
    <row r="20" spans="1:33" ht="32.25" customHeight="1">
      <c r="A20" s="1834" t="s">
        <v>389</v>
      </c>
      <c r="B20" s="1834"/>
      <c r="C20" s="1834"/>
      <c r="D20" s="1834"/>
      <c r="E20" s="1834"/>
      <c r="F20" s="680" t="s">
        <v>365</v>
      </c>
      <c r="G20" s="1112"/>
      <c r="H20" s="188"/>
      <c r="I20" s="999" t="s">
        <v>390</v>
      </c>
      <c r="J20" s="712"/>
      <c r="K20" s="1852" t="s">
        <v>391</v>
      </c>
      <c r="L20" s="1852"/>
      <c r="M20" s="1852"/>
      <c r="N20" s="1852"/>
      <c r="O20" s="1852"/>
      <c r="P20" s="1852"/>
      <c r="Q20" s="1852"/>
      <c r="R20" s="1852"/>
      <c r="S20" s="1852"/>
      <c r="T20" s="1852"/>
      <c r="U20" s="1852"/>
      <c r="W20" s="1837"/>
      <c r="X20" s="1788"/>
      <c r="Y20" s="1788"/>
      <c r="Z20" s="1838"/>
      <c r="AA20" s="853"/>
      <c r="AB20" s="853"/>
      <c r="AC20" s="853"/>
      <c r="AD20" s="853"/>
      <c r="AE20" s="853"/>
      <c r="AF20" s="853"/>
      <c r="AG20" s="853"/>
    </row>
    <row r="21" spans="1:33" ht="31.5" customHeight="1">
      <c r="A21" s="1834" t="s">
        <v>392</v>
      </c>
      <c r="B21" s="1834"/>
      <c r="C21" s="1834"/>
      <c r="D21" s="1834"/>
      <c r="E21" s="1834"/>
      <c r="F21" s="680" t="s">
        <v>365</v>
      </c>
      <c r="G21" s="1112"/>
      <c r="H21" s="188"/>
      <c r="I21" s="999" t="s">
        <v>387</v>
      </c>
      <c r="J21" s="712"/>
      <c r="K21" s="1852" t="s">
        <v>391</v>
      </c>
      <c r="L21" s="1852"/>
      <c r="M21" s="1852"/>
      <c r="N21" s="1852"/>
      <c r="O21" s="1852"/>
      <c r="P21" s="1852"/>
      <c r="Q21" s="1852"/>
      <c r="R21" s="1852"/>
      <c r="S21" s="1852"/>
      <c r="T21" s="1852"/>
      <c r="U21" s="1852"/>
      <c r="W21" s="1837"/>
      <c r="X21" s="1788"/>
      <c r="Y21" s="1788"/>
      <c r="Z21" s="1838"/>
      <c r="AA21" s="853"/>
      <c r="AB21" s="853"/>
      <c r="AC21" s="853"/>
      <c r="AD21" s="853"/>
      <c r="AE21" s="853"/>
      <c r="AF21" s="853"/>
      <c r="AG21" s="853"/>
    </row>
    <row r="22" spans="1:33" ht="23.25" customHeight="1">
      <c r="A22" s="188"/>
      <c r="B22"/>
      <c r="C22" s="711"/>
      <c r="D22" s="711"/>
      <c r="E22" s="711" t="s">
        <v>393</v>
      </c>
      <c r="F22" s="680" t="s">
        <v>365</v>
      </c>
      <c r="G22" s="1112"/>
      <c r="H22" s="188"/>
      <c r="I22" s="1104" t="s">
        <v>387</v>
      </c>
      <c r="J22" s="712"/>
      <c r="K22" s="1845" t="s">
        <v>394</v>
      </c>
      <c r="L22" s="1845"/>
      <c r="M22" s="1845"/>
      <c r="N22" s="1845"/>
      <c r="O22" s="1845"/>
      <c r="P22" s="1845"/>
      <c r="Q22" s="1845"/>
      <c r="R22" s="1845"/>
      <c r="S22" s="1845"/>
      <c r="T22" s="1845"/>
      <c r="U22" s="1845"/>
      <c r="V22" s="1845"/>
      <c r="W22" s="1837"/>
      <c r="X22" s="1788"/>
      <c r="Y22" s="1788"/>
      <c r="Z22" s="1838"/>
      <c r="AA22" s="853"/>
      <c r="AB22" s="853"/>
      <c r="AC22" s="853"/>
      <c r="AD22" s="853"/>
      <c r="AE22" s="853"/>
      <c r="AF22" s="853"/>
      <c r="AG22" s="853"/>
    </row>
    <row r="23" spans="1:33" ht="15" customHeight="1">
      <c r="A23" s="188"/>
      <c r="B23"/>
      <c r="C23" s="711"/>
      <c r="D23" s="711"/>
      <c r="E23" s="711" t="s">
        <v>395</v>
      </c>
      <c r="F23" s="680" t="s">
        <v>365</v>
      </c>
      <c r="G23" s="1112"/>
      <c r="H23" s="188"/>
      <c r="I23" s="392" t="s">
        <v>387</v>
      </c>
      <c r="J23" s="712"/>
      <c r="K23" s="713" t="s">
        <v>388</v>
      </c>
      <c r="L23" s="1399"/>
      <c r="M23" s="1399"/>
      <c r="N23" s="1399"/>
      <c r="O23" s="1399"/>
      <c r="P23" s="1399"/>
      <c r="Q23" s="1399"/>
      <c r="R23" s="1399"/>
      <c r="S23" s="1399"/>
      <c r="T23" s="188"/>
      <c r="U23" s="600"/>
      <c r="W23" s="1837"/>
      <c r="X23" s="1788"/>
      <c r="Y23" s="1788"/>
      <c r="Z23" s="1838"/>
      <c r="AA23" s="853"/>
      <c r="AB23" s="853"/>
      <c r="AC23" s="853"/>
      <c r="AD23" s="853"/>
      <c r="AE23" s="853"/>
      <c r="AF23" s="853"/>
      <c r="AG23" s="853"/>
    </row>
    <row r="24" spans="1:33" ht="15" customHeight="1">
      <c r="A24" s="188"/>
      <c r="B24"/>
      <c r="C24" s="711"/>
      <c r="D24" s="711"/>
      <c r="E24" s="711" t="s">
        <v>396</v>
      </c>
      <c r="F24" s="680" t="s">
        <v>365</v>
      </c>
      <c r="G24" s="1181">
        <f>K39</f>
        <v>0</v>
      </c>
      <c r="H24" s="188"/>
      <c r="I24" s="735" t="s">
        <v>384</v>
      </c>
      <c r="J24" s="712"/>
      <c r="K24" s="713" t="s">
        <v>397</v>
      </c>
      <c r="L24" s="1399"/>
      <c r="M24" s="1399"/>
      <c r="N24" s="1399"/>
      <c r="O24" s="1399"/>
      <c r="P24" s="1399"/>
      <c r="Q24" s="1399"/>
      <c r="R24" s="1399"/>
      <c r="S24" s="1399"/>
      <c r="T24" s="188"/>
      <c r="U24" s="600"/>
      <c r="W24" s="1837"/>
      <c r="X24" s="1788"/>
      <c r="Y24" s="1788"/>
      <c r="Z24" s="1838"/>
      <c r="AA24" s="853"/>
      <c r="AB24" s="853"/>
      <c r="AC24" s="853"/>
      <c r="AD24" s="853"/>
      <c r="AE24" s="853"/>
      <c r="AF24" s="853"/>
      <c r="AG24" s="853"/>
    </row>
    <row r="25" spans="1:33" ht="15" customHeight="1">
      <c r="A25" s="188"/>
      <c r="B25"/>
      <c r="C25" s="711"/>
      <c r="D25" s="711"/>
      <c r="E25" s="711" t="s">
        <v>398</v>
      </c>
      <c r="F25" s="680" t="s">
        <v>365</v>
      </c>
      <c r="G25" s="1106"/>
      <c r="H25" s="188"/>
      <c r="I25" s="735" t="s">
        <v>384</v>
      </c>
      <c r="J25" s="712"/>
      <c r="K25" s="713" t="s">
        <v>399</v>
      </c>
      <c r="L25" s="1399"/>
      <c r="M25" s="1399"/>
      <c r="N25" s="1399"/>
      <c r="O25" s="1399"/>
      <c r="P25" s="1399"/>
      <c r="Q25" s="1399"/>
      <c r="R25" s="1399"/>
      <c r="S25" s="1399"/>
      <c r="T25" s="188"/>
      <c r="U25" s="600"/>
      <c r="W25" s="1837"/>
      <c r="X25" s="1788"/>
      <c r="Y25" s="1788"/>
      <c r="Z25" s="1838"/>
      <c r="AA25" s="853"/>
      <c r="AB25" s="853"/>
      <c r="AC25" s="853"/>
      <c r="AD25" s="853"/>
      <c r="AE25" s="853"/>
      <c r="AF25" s="853"/>
      <c r="AG25" s="853"/>
    </row>
    <row r="26" spans="1:33" ht="25.5" customHeight="1">
      <c r="A26" s="1835" t="s">
        <v>400</v>
      </c>
      <c r="B26" s="1835"/>
      <c r="C26" s="1835"/>
      <c r="D26" s="1835"/>
      <c r="E26" s="1835"/>
      <c r="F26" s="694" t="s">
        <v>365</v>
      </c>
      <c r="G26" s="1181">
        <f>MIN(G38,I38,K38)</f>
        <v>0</v>
      </c>
      <c r="H26" s="723"/>
      <c r="I26" s="735" t="str">
        <f>IF(G26=G38,"3LG",IF(G26=I38,"L-L","1LG"))</f>
        <v>3LG</v>
      </c>
      <c r="J26" s="188"/>
      <c r="K26" s="1177" t="s">
        <v>401</v>
      </c>
      <c r="L26" s="1399"/>
      <c r="M26" s="1399"/>
      <c r="N26" s="1399"/>
      <c r="O26" s="1399"/>
      <c r="P26" s="1399"/>
      <c r="Q26" s="1399"/>
      <c r="R26" s="1399"/>
      <c r="S26" s="1399"/>
      <c r="T26" s="188"/>
      <c r="U26" s="600"/>
      <c r="W26" s="1837"/>
      <c r="X26" s="1788"/>
      <c r="Y26" s="1788"/>
      <c r="Z26" s="1838"/>
      <c r="AA26" s="853"/>
      <c r="AB26" s="853"/>
      <c r="AC26" s="853"/>
      <c r="AD26" s="853"/>
      <c r="AE26" s="853"/>
      <c r="AF26" s="853"/>
      <c r="AG26" s="853"/>
    </row>
    <row r="27" spans="1:33" ht="29.25" customHeight="1">
      <c r="A27" s="1836" t="s">
        <v>402</v>
      </c>
      <c r="B27" s="1836"/>
      <c r="C27" s="1836"/>
      <c r="D27" s="1836"/>
      <c r="E27" s="1836"/>
      <c r="F27" s="694" t="s">
        <v>365</v>
      </c>
      <c r="G27" s="1181">
        <f>MIN(R35:U38)</f>
        <v>0</v>
      </c>
      <c r="H27" s="723"/>
      <c r="I27" s="843" t="e">
        <f>INDEX(R34:U34,IFERROR(MATCH(MIN(R35:U38),R35:U35,0),IFERROR(MATCH(MIN(R35:U38),R36:U36,0),IFERROR(MATCH(MIN(R35:U38),R37:U37,0),MATCH(MIN(R35:U38),R38:U38,0)))))</f>
        <v>#N/A</v>
      </c>
      <c r="J27" s="188"/>
      <c r="K27" s="1177" t="s">
        <v>403</v>
      </c>
      <c r="L27" s="1399"/>
      <c r="M27" s="1399"/>
      <c r="N27" s="1399"/>
      <c r="O27" s="1399"/>
      <c r="P27" s="1399"/>
      <c r="Q27" s="1399"/>
      <c r="R27" s="1399"/>
      <c r="S27" s="1399"/>
      <c r="T27" s="188"/>
      <c r="U27" s="600"/>
      <c r="W27" s="1837"/>
      <c r="X27" s="1788"/>
      <c r="Y27" s="1788"/>
      <c r="Z27" s="1838"/>
      <c r="AA27" s="853"/>
      <c r="AB27" s="853"/>
      <c r="AC27" s="853"/>
      <c r="AD27" s="853"/>
      <c r="AE27" s="853"/>
      <c r="AF27" s="853"/>
      <c r="AG27" s="853"/>
    </row>
    <row r="28" spans="1:33" ht="29.25" customHeight="1">
      <c r="A28" s="1836" t="s">
        <v>404</v>
      </c>
      <c r="B28" s="1836"/>
      <c r="C28" s="1836"/>
      <c r="D28" s="1836"/>
      <c r="E28" s="1836"/>
      <c r="F28" s="694" t="s">
        <v>365</v>
      </c>
      <c r="G28" s="1181">
        <f>MIN(W35:W38)</f>
        <v>0</v>
      </c>
      <c r="H28" s="723"/>
      <c r="I28" s="865" t="s">
        <v>405</v>
      </c>
      <c r="J28" s="188"/>
      <c r="K28" s="1177" t="s">
        <v>406</v>
      </c>
      <c r="L28" s="1399"/>
      <c r="M28" s="1399"/>
      <c r="N28" s="1399"/>
      <c r="O28" s="1399"/>
      <c r="P28" s="1399"/>
      <c r="Q28" s="1399"/>
      <c r="R28" s="1399"/>
      <c r="S28" s="1399"/>
      <c r="T28" s="188"/>
      <c r="U28" s="600"/>
      <c r="W28" s="1837"/>
      <c r="X28" s="1788"/>
      <c r="Y28" s="1788"/>
      <c r="Z28" s="1838"/>
      <c r="AA28" s="853"/>
      <c r="AB28" s="853"/>
      <c r="AC28" s="853"/>
      <c r="AD28" s="853"/>
      <c r="AE28" s="853"/>
      <c r="AF28" s="853"/>
      <c r="AG28" s="853"/>
    </row>
    <row r="29" spans="1:33" ht="29.25" customHeight="1">
      <c r="A29" s="1836" t="s">
        <v>407</v>
      </c>
      <c r="B29" s="1836"/>
      <c r="C29" s="1836"/>
      <c r="D29" s="1836"/>
      <c r="E29" s="1836"/>
      <c r="F29" s="694" t="s">
        <v>365</v>
      </c>
      <c r="G29" s="1181">
        <f>MIN(X35:X38)</f>
        <v>0</v>
      </c>
      <c r="H29" s="723"/>
      <c r="I29" s="735" t="s">
        <v>408</v>
      </c>
      <c r="J29" s="188"/>
      <c r="K29" s="1177" t="s">
        <v>409</v>
      </c>
      <c r="L29" s="1399"/>
      <c r="M29" s="1399"/>
      <c r="N29" s="1399"/>
      <c r="O29" s="1399"/>
      <c r="P29" s="1399"/>
      <c r="Q29" s="1399"/>
      <c r="R29" s="1399"/>
      <c r="S29" s="1399"/>
      <c r="T29" s="188"/>
      <c r="U29" s="600"/>
      <c r="W29" s="1837"/>
      <c r="X29" s="1788"/>
      <c r="Y29" s="1788"/>
      <c r="Z29" s="1838"/>
      <c r="AA29" s="853"/>
      <c r="AB29" s="853"/>
      <c r="AC29" s="853"/>
      <c r="AD29" s="853"/>
      <c r="AE29" s="853"/>
      <c r="AF29" s="853"/>
      <c r="AG29" s="853"/>
    </row>
    <row r="30" spans="1:33" ht="40.5" customHeight="1">
      <c r="A30" s="1836" t="s">
        <v>410</v>
      </c>
      <c r="B30" s="1836"/>
      <c r="C30" s="1836"/>
      <c r="D30" s="1836"/>
      <c r="E30" s="1836"/>
      <c r="F30" s="694" t="s">
        <v>365</v>
      </c>
      <c r="G30" s="1181">
        <f>MAX(R39:U39)</f>
        <v>0</v>
      </c>
      <c r="H30" s="723"/>
      <c r="I30" s="843" t="e">
        <f>INDEX(R34:U34,MATCH(MAX(R39:U39),R39:U39,0))</f>
        <v>#N/A</v>
      </c>
      <c r="J30" s="188"/>
      <c r="K30" s="1177" t="s">
        <v>411</v>
      </c>
      <c r="L30" s="1399"/>
      <c r="M30" s="1399"/>
      <c r="N30" s="1399"/>
      <c r="O30" s="1399"/>
      <c r="P30" s="1399"/>
      <c r="Q30" s="1399"/>
      <c r="R30" s="1399"/>
      <c r="S30" s="1399"/>
      <c r="T30" s="188"/>
      <c r="U30" s="600"/>
      <c r="W30" s="1837"/>
      <c r="X30" s="1788"/>
      <c r="Y30" s="1788"/>
      <c r="Z30" s="1838"/>
      <c r="AA30" s="853"/>
      <c r="AB30" s="853"/>
      <c r="AC30" s="853"/>
      <c r="AD30" s="853"/>
      <c r="AE30" s="853"/>
      <c r="AF30" s="853"/>
      <c r="AG30" s="853"/>
    </row>
    <row r="31" spans="1:33" ht="36.75" customHeight="1">
      <c r="A31" s="1836" t="s">
        <v>412</v>
      </c>
      <c r="B31" s="1836"/>
      <c r="C31" s="1836"/>
      <c r="D31" s="1836"/>
      <c r="E31" s="1836"/>
      <c r="F31" s="694" t="s">
        <v>365</v>
      </c>
      <c r="G31" s="1181">
        <f>W39</f>
        <v>0</v>
      </c>
      <c r="H31" s="723"/>
      <c r="I31" s="865" t="s">
        <v>405</v>
      </c>
      <c r="J31" s="188"/>
      <c r="K31" s="1177" t="s">
        <v>413</v>
      </c>
      <c r="L31" s="1399"/>
      <c r="M31" s="1399"/>
      <c r="N31" s="1399"/>
      <c r="O31" s="1399"/>
      <c r="P31" s="1399"/>
      <c r="Q31" s="1399"/>
      <c r="R31" s="1399"/>
      <c r="S31" s="1399"/>
      <c r="T31" s="188"/>
      <c r="U31" s="600"/>
      <c r="W31" s="1837"/>
      <c r="X31" s="1788"/>
      <c r="Y31" s="1788"/>
      <c r="Z31" s="1838"/>
      <c r="AA31" s="853"/>
      <c r="AB31" s="853"/>
      <c r="AC31" s="853"/>
      <c r="AD31" s="853"/>
      <c r="AE31" s="853"/>
      <c r="AF31" s="853"/>
      <c r="AG31" s="853"/>
    </row>
    <row r="32" spans="1:33" ht="40.5" customHeight="1" thickBot="1">
      <c r="A32" s="1836" t="s">
        <v>414</v>
      </c>
      <c r="B32" s="1836"/>
      <c r="C32" s="1836"/>
      <c r="D32" s="1836"/>
      <c r="E32" s="1836"/>
      <c r="F32" s="694"/>
      <c r="G32" s="1181">
        <f>X39</f>
        <v>0</v>
      </c>
      <c r="H32" s="723"/>
      <c r="I32" s="735" t="s">
        <v>408</v>
      </c>
      <c r="J32" s="188"/>
      <c r="K32" s="1177" t="s">
        <v>415</v>
      </c>
      <c r="L32" s="1399"/>
      <c r="M32" s="1399"/>
      <c r="N32" s="1399"/>
      <c r="O32" s="1399"/>
      <c r="P32" s="1399"/>
      <c r="Q32" s="1399"/>
      <c r="R32" s="1399"/>
      <c r="S32" s="1399"/>
      <c r="T32" s="188"/>
      <c r="U32" s="600"/>
      <c r="W32" s="1839"/>
      <c r="X32" s="1840"/>
      <c r="Y32" s="1840"/>
      <c r="Z32" s="1841"/>
      <c r="AA32" s="853"/>
      <c r="AB32" s="853"/>
      <c r="AC32" s="853"/>
      <c r="AD32" s="853"/>
      <c r="AE32" s="853"/>
      <c r="AF32" s="853"/>
      <c r="AG32" s="853"/>
    </row>
    <row r="33" spans="1:29" ht="15" customHeight="1" thickBot="1">
      <c r="A33" s="188"/>
      <c r="B33" s="190"/>
      <c r="C33" s="188"/>
      <c r="D33" s="188"/>
      <c r="E33" s="1381"/>
      <c r="F33" s="694"/>
      <c r="G33" s="735"/>
      <c r="H33" s="723"/>
      <c r="I33" s="735"/>
      <c r="J33" s="188"/>
      <c r="K33" s="1177"/>
      <c r="L33" s="1399"/>
      <c r="M33" s="1399"/>
      <c r="N33" s="1399"/>
      <c r="O33" s="1399"/>
      <c r="P33" s="1399"/>
      <c r="Q33" s="1399"/>
      <c r="R33" s="1399"/>
      <c r="S33" s="1399"/>
      <c r="T33" s="188"/>
      <c r="U33" s="837" t="s">
        <v>416</v>
      </c>
      <c r="V33" s="838"/>
      <c r="W33" s="839"/>
    </row>
    <row r="34" spans="1:29" ht="19.5" customHeight="1" thickBot="1">
      <c r="A34" s="188"/>
      <c r="B34" s="190"/>
      <c r="C34" s="188"/>
      <c r="D34" s="188"/>
      <c r="F34" s="188"/>
      <c r="G34" s="188"/>
      <c r="H34" s="188"/>
      <c r="I34" s="188"/>
      <c r="J34" s="188"/>
      <c r="K34" s="188"/>
      <c r="L34" s="188"/>
      <c r="M34" s="1182"/>
      <c r="N34" s="1182"/>
      <c r="O34" s="1182"/>
      <c r="P34" s="1182"/>
      <c r="Q34" s="834" t="s">
        <v>417</v>
      </c>
      <c r="R34" s="1811" t="s">
        <v>390</v>
      </c>
      <c r="S34" s="1812" t="s">
        <v>390</v>
      </c>
      <c r="T34" s="1806" t="s">
        <v>418</v>
      </c>
      <c r="U34" s="1806"/>
      <c r="V34" s="835" t="s">
        <v>381</v>
      </c>
      <c r="W34" s="836" t="s">
        <v>419</v>
      </c>
      <c r="X34" s="928" t="s">
        <v>420</v>
      </c>
      <c r="Y34" s="1849" t="s">
        <v>180</v>
      </c>
      <c r="Z34" s="1850"/>
      <c r="AA34" s="1850"/>
      <c r="AB34" s="1850"/>
      <c r="AC34" s="1851"/>
    </row>
    <row r="35" spans="1:29" ht="28.5" customHeight="1" thickBot="1">
      <c r="A35" s="188"/>
      <c r="B35" s="1842" t="s">
        <v>421</v>
      </c>
      <c r="C35" s="1843"/>
      <c r="D35" s="1843"/>
      <c r="E35" s="1844"/>
      <c r="F35" s="594"/>
      <c r="G35" s="595" t="s">
        <v>390</v>
      </c>
      <c r="H35" s="594"/>
      <c r="I35" s="595" t="s">
        <v>418</v>
      </c>
      <c r="J35" s="596"/>
      <c r="K35" s="597" t="s">
        <v>381</v>
      </c>
      <c r="L35" s="350"/>
      <c r="M35" s="712" t="str">
        <f ca="1">IF(MAX(G36,G37,K36,K37)&gt;20*E7,"Max close in fault current is greater than 20 * CT ratio, select higher ratio to satisfy C37.110","")</f>
        <v/>
      </c>
      <c r="N35" s="712"/>
      <c r="O35" s="712"/>
      <c r="P35" s="712"/>
      <c r="Q35" s="1094" t="s">
        <v>422</v>
      </c>
      <c r="R35" s="1789"/>
      <c r="S35" s="1790"/>
      <c r="T35" s="1813"/>
      <c r="U35" s="1790"/>
      <c r="V35" s="1183"/>
      <c r="W35" s="1377"/>
      <c r="X35" s="1098"/>
      <c r="Y35" s="1832"/>
      <c r="Z35" s="1833"/>
      <c r="AA35" s="1833"/>
      <c r="AB35" s="1833"/>
      <c r="AC35" s="929"/>
    </row>
    <row r="36" spans="1:29" ht="28.5" customHeight="1">
      <c r="A36" s="188"/>
      <c r="B36" s="1846" t="s">
        <v>423</v>
      </c>
      <c r="C36" s="1847"/>
      <c r="D36" s="1847"/>
      <c r="E36" s="1848"/>
      <c r="F36" s="592"/>
      <c r="G36" s="1110"/>
      <c r="H36" s="592"/>
      <c r="I36" s="1184"/>
      <c r="J36" s="593"/>
      <c r="K36" s="1111"/>
      <c r="L36" s="350"/>
      <c r="M36" s="712"/>
      <c r="N36" s="712"/>
      <c r="O36" s="712"/>
      <c r="P36" s="712"/>
      <c r="Q36" s="1095" t="s">
        <v>424</v>
      </c>
      <c r="R36" s="1807"/>
      <c r="S36" s="1808"/>
      <c r="T36" s="1814"/>
      <c r="U36" s="1815"/>
      <c r="V36" s="1183"/>
      <c r="W36" s="1379"/>
      <c r="X36" s="1378"/>
      <c r="Y36" s="1832"/>
      <c r="Z36" s="1833"/>
      <c r="AA36" s="1833"/>
      <c r="AB36" s="1833"/>
      <c r="AC36" s="929"/>
    </row>
    <row r="37" spans="1:29" ht="28.5" customHeight="1">
      <c r="A37" s="188"/>
      <c r="B37" s="1799" t="s">
        <v>425</v>
      </c>
      <c r="C37" s="1800"/>
      <c r="D37" s="1800"/>
      <c r="E37" s="1801"/>
      <c r="F37" s="210"/>
      <c r="G37" s="1101"/>
      <c r="H37" s="592"/>
      <c r="I37" s="1183"/>
      <c r="J37" s="593"/>
      <c r="K37" s="1102"/>
      <c r="L37" s="350"/>
      <c r="M37" s="591"/>
      <c r="N37" s="591"/>
      <c r="O37" s="591"/>
      <c r="P37" s="591"/>
      <c r="Q37" s="1095" t="s">
        <v>426</v>
      </c>
      <c r="R37" s="1807"/>
      <c r="S37" s="1808"/>
      <c r="T37" s="1816"/>
      <c r="U37" s="1808"/>
      <c r="V37" s="1183"/>
      <c r="W37" s="1379"/>
      <c r="X37" s="1378"/>
      <c r="Y37" s="1832"/>
      <c r="Z37" s="1833"/>
      <c r="AA37" s="1833"/>
      <c r="AB37" s="1833"/>
      <c r="AC37" s="929"/>
    </row>
    <row r="38" spans="1:29" ht="28.5" customHeight="1">
      <c r="A38" s="188"/>
      <c r="B38" s="1799" t="s">
        <v>427</v>
      </c>
      <c r="C38" s="1800"/>
      <c r="D38" s="1800"/>
      <c r="E38" s="1801"/>
      <c r="F38" s="210"/>
      <c r="G38" s="1101"/>
      <c r="H38" s="210"/>
      <c r="I38" s="1101"/>
      <c r="J38" s="210"/>
      <c r="K38" s="1102"/>
      <c r="L38" s="1372" t="s">
        <v>428</v>
      </c>
      <c r="M38" s="1788" t="s">
        <v>429</v>
      </c>
      <c r="N38" s="1788"/>
      <c r="O38" s="1788"/>
      <c r="P38" s="1788"/>
      <c r="Q38" s="1095" t="s">
        <v>430</v>
      </c>
      <c r="R38" s="1807"/>
      <c r="S38" s="1808"/>
      <c r="T38" s="1816"/>
      <c r="U38" s="1808"/>
      <c r="V38" s="1183"/>
      <c r="W38" s="1379"/>
      <c r="X38" s="1378"/>
      <c r="Y38" s="1832"/>
      <c r="Z38" s="1833"/>
      <c r="AA38" s="1833"/>
      <c r="AB38" s="1833"/>
      <c r="AC38" s="929"/>
    </row>
    <row r="39" spans="1:29" ht="28.5" customHeight="1" thickBot="1">
      <c r="A39" s="188"/>
      <c r="B39" s="1799" t="s">
        <v>431</v>
      </c>
      <c r="C39" s="1800"/>
      <c r="D39" s="1800"/>
      <c r="E39" s="1801"/>
      <c r="F39" s="210"/>
      <c r="G39" s="1183"/>
      <c r="H39" s="210"/>
      <c r="I39" s="1183"/>
      <c r="J39" s="210"/>
      <c r="K39" s="1102"/>
      <c r="L39" s="724" t="s">
        <v>428</v>
      </c>
      <c r="M39" s="1788" t="s">
        <v>429</v>
      </c>
      <c r="N39" s="1788"/>
      <c r="O39" s="1788"/>
      <c r="P39" s="832"/>
      <c r="Q39" s="1096" t="s">
        <v>432</v>
      </c>
      <c r="R39" s="1809"/>
      <c r="S39" s="1810"/>
      <c r="T39" s="1817"/>
      <c r="U39" s="1810"/>
      <c r="V39" s="1185"/>
      <c r="W39" s="1380"/>
      <c r="X39" s="1099"/>
      <c r="Y39" s="1818"/>
      <c r="Z39" s="1819"/>
      <c r="AA39" s="1819"/>
      <c r="AB39" s="1819"/>
      <c r="AC39" s="930"/>
    </row>
    <row r="40" spans="1:29" ht="21" customHeight="1">
      <c r="A40" s="188"/>
      <c r="B40" s="745"/>
      <c r="C40" s="1374"/>
      <c r="D40" s="1374"/>
      <c r="E40" s="1374"/>
      <c r="F40" s="724"/>
      <c r="G40" s="724"/>
      <c r="H40" s="724"/>
      <c r="I40" s="724"/>
      <c r="J40" s="724"/>
      <c r="K40" s="211"/>
      <c r="L40" s="188"/>
      <c r="M40" s="188"/>
      <c r="N40" s="188"/>
      <c r="O40" s="188"/>
      <c r="P40" s="188"/>
      <c r="Q40" s="840" t="s">
        <v>433</v>
      </c>
      <c r="R40" s="188"/>
      <c r="S40" s="188"/>
      <c r="T40" s="188"/>
      <c r="U40" s="600"/>
      <c r="V40" s="613"/>
      <c r="W40"/>
      <c r="X40"/>
      <c r="Y40"/>
      <c r="Z40"/>
      <c r="AA40"/>
      <c r="AB40"/>
    </row>
    <row r="41" spans="1:29" ht="17.399999999999999">
      <c r="A41" s="187"/>
      <c r="B41" s="212" t="s">
        <v>434</v>
      </c>
      <c r="C41" s="212"/>
      <c r="D41" s="187"/>
      <c r="E41" s="187"/>
      <c r="F41" s="187"/>
      <c r="G41" s="187"/>
      <c r="H41" s="187"/>
      <c r="I41" s="187"/>
      <c r="J41" s="187"/>
      <c r="K41" s="187"/>
      <c r="L41" s="187"/>
      <c r="M41" s="187"/>
      <c r="N41" s="187"/>
      <c r="O41" s="187"/>
      <c r="P41" s="187"/>
      <c r="Q41" s="187"/>
      <c r="R41" s="187"/>
      <c r="S41" s="187"/>
      <c r="T41" s="188"/>
      <c r="U41" s="600"/>
    </row>
    <row r="42" spans="1:29" ht="15" customHeight="1">
      <c r="A42" s="188"/>
      <c r="B42" s="235" t="s">
        <v>435</v>
      </c>
      <c r="C42" s="1374"/>
      <c r="D42" s="1374"/>
      <c r="E42" s="1374"/>
      <c r="F42" s="724"/>
      <c r="G42" s="724"/>
      <c r="H42" s="724"/>
      <c r="I42" s="724"/>
      <c r="J42" s="724"/>
      <c r="K42" s="211"/>
      <c r="L42" s="188"/>
      <c r="M42" s="188"/>
      <c r="N42" s="188"/>
      <c r="O42" s="188"/>
      <c r="P42" s="188"/>
      <c r="Q42" s="188"/>
      <c r="R42" s="188"/>
      <c r="S42" s="188"/>
      <c r="T42" s="188"/>
      <c r="U42" s="600"/>
    </row>
    <row r="43" spans="1:29" ht="15" customHeight="1">
      <c r="A43" s="188"/>
      <c r="B43" s="248" t="s">
        <v>436</v>
      </c>
      <c r="C43" s="1374"/>
      <c r="D43" s="1374"/>
      <c r="E43" s="1374"/>
      <c r="F43" s="724"/>
      <c r="G43" s="724"/>
      <c r="H43" s="724"/>
      <c r="I43" s="724"/>
      <c r="J43" s="724"/>
      <c r="K43" s="211"/>
      <c r="L43" s="188"/>
      <c r="M43" s="188"/>
      <c r="N43" s="188"/>
      <c r="O43" s="188"/>
      <c r="P43" s="188"/>
      <c r="Q43" s="188"/>
      <c r="R43" s="188"/>
      <c r="S43" s="188"/>
      <c r="T43" s="188"/>
      <c r="U43" s="600"/>
    </row>
    <row r="44" spans="1:29" ht="15" customHeight="1">
      <c r="A44" s="1786" t="s">
        <v>437</v>
      </c>
      <c r="B44" s="1786"/>
      <c r="C44" s="1786"/>
      <c r="E44" s="1113"/>
      <c r="F44" s="724"/>
      <c r="G44" s="724"/>
      <c r="H44" s="724"/>
      <c r="I44" s="724"/>
      <c r="J44" s="724"/>
      <c r="K44" s="211"/>
      <c r="L44" s="188"/>
      <c r="M44" s="188"/>
      <c r="N44" s="188"/>
      <c r="Q44" s="310" t="s">
        <v>438</v>
      </c>
      <c r="R44" s="311" t="s">
        <v>365</v>
      </c>
      <c r="S44" s="312">
        <f>E44</f>
        <v>0</v>
      </c>
      <c r="T44" s="188"/>
      <c r="U44" s="599" t="s">
        <v>439</v>
      </c>
    </row>
    <row r="45" spans="1:29" ht="15" customHeight="1">
      <c r="A45" s="1786" t="s">
        <v>440</v>
      </c>
      <c r="B45" s="1786"/>
      <c r="C45" s="1786"/>
      <c r="E45" s="1114"/>
      <c r="F45" s="724"/>
      <c r="G45" s="724"/>
      <c r="H45" s="724"/>
      <c r="I45" s="724"/>
      <c r="J45" s="724"/>
      <c r="K45" s="211"/>
      <c r="L45" s="188"/>
      <c r="M45" s="188"/>
      <c r="N45" s="188"/>
      <c r="Q45" s="310" t="s">
        <v>441</v>
      </c>
      <c r="R45" s="311" t="s">
        <v>365</v>
      </c>
      <c r="S45" s="312">
        <f>E45</f>
        <v>0</v>
      </c>
      <c r="T45" s="188"/>
      <c r="U45" s="599" t="s">
        <v>442</v>
      </c>
    </row>
    <row r="46" spans="1:29" ht="15" customHeight="1">
      <c r="A46" s="188"/>
      <c r="B46" s="1820" t="s">
        <v>443</v>
      </c>
      <c r="C46" s="1821"/>
      <c r="D46" s="1108"/>
      <c r="E46" s="1186" t="s">
        <v>444</v>
      </c>
      <c r="F46" s="742"/>
      <c r="G46" s="742" t="s">
        <v>445</v>
      </c>
      <c r="H46" s="742"/>
      <c r="I46" s="742" t="s">
        <v>446</v>
      </c>
      <c r="J46" s="742"/>
      <c r="K46" s="743" t="s">
        <v>447</v>
      </c>
      <c r="L46" s="742"/>
      <c r="M46" s="742" t="s">
        <v>448</v>
      </c>
      <c r="N46" s="742"/>
      <c r="O46" s="743" t="s">
        <v>449</v>
      </c>
      <c r="P46" s="188"/>
      <c r="Q46" s="188"/>
      <c r="R46" s="188"/>
      <c r="S46" s="188"/>
      <c r="T46" s="188"/>
      <c r="U46" s="600"/>
    </row>
    <row r="47" spans="1:29" ht="15" customHeight="1">
      <c r="A47" s="188"/>
      <c r="B47" s="1822" t="s">
        <v>450</v>
      </c>
      <c r="C47" s="1823"/>
      <c r="D47" s="1383"/>
      <c r="E47" s="1103"/>
      <c r="F47" s="1053"/>
      <c r="G47" s="1103"/>
      <c r="H47" s="1053"/>
      <c r="I47" s="1103"/>
      <c r="J47" s="1187"/>
      <c r="K47" s="1103"/>
      <c r="L47" s="1187"/>
      <c r="M47" s="1103"/>
      <c r="N47" s="1053"/>
      <c r="O47" s="1103"/>
      <c r="P47" s="188"/>
      <c r="Q47" s="188"/>
      <c r="R47" s="188"/>
      <c r="S47" s="188"/>
      <c r="T47" s="188"/>
      <c r="U47" s="600"/>
    </row>
    <row r="48" spans="1:29" ht="15" customHeight="1">
      <c r="A48" s="188"/>
      <c r="B48" s="745"/>
      <c r="C48" s="1374"/>
      <c r="D48" s="1374"/>
      <c r="E48" s="1374"/>
      <c r="F48" s="724"/>
      <c r="G48" s="724"/>
      <c r="H48" s="724"/>
      <c r="I48" s="724"/>
      <c r="J48" s="724"/>
      <c r="K48" s="211"/>
      <c r="L48" s="188"/>
      <c r="M48" s="188"/>
      <c r="N48" s="188"/>
      <c r="O48" s="188"/>
      <c r="P48" s="188"/>
      <c r="Q48" s="188"/>
      <c r="R48" s="188"/>
      <c r="S48" s="188"/>
      <c r="T48" s="188"/>
      <c r="U48" s="600"/>
    </row>
    <row r="49" spans="1:21" ht="15" customHeight="1">
      <c r="A49" s="188"/>
      <c r="B49" s="1805" t="s">
        <v>451</v>
      </c>
      <c r="C49" s="1805"/>
      <c r="D49" s="745" t="s">
        <v>365</v>
      </c>
      <c r="E49" s="1030">
        <f>IMABS(COMPLEX(E47,G47))</f>
        <v>0</v>
      </c>
      <c r="F49" s="724" t="s">
        <v>452</v>
      </c>
      <c r="G49" s="1830" t="e">
        <f>DEGREES(IMARGUMENT(COMPLEX(E47,G47)))</f>
        <v>#DIV/0!</v>
      </c>
      <c r="H49" s="1830"/>
      <c r="I49" s="1829" t="s">
        <v>453</v>
      </c>
      <c r="J49" s="1829"/>
      <c r="K49" s="1829"/>
      <c r="L49" s="188"/>
      <c r="M49" s="188"/>
      <c r="N49" s="188"/>
      <c r="O49" s="188"/>
      <c r="P49" s="188"/>
      <c r="Q49" s="188"/>
      <c r="R49" s="188"/>
      <c r="S49" s="188"/>
      <c r="T49" s="188"/>
      <c r="U49" s="600"/>
    </row>
    <row r="50" spans="1:21" ht="20.25" customHeight="1">
      <c r="A50" s="188"/>
      <c r="B50" s="746"/>
      <c r="C50" s="746"/>
      <c r="D50" s="1374"/>
      <c r="E50" s="726" t="s">
        <v>454</v>
      </c>
      <c r="F50" s="724"/>
      <c r="G50" s="1831" t="s">
        <v>455</v>
      </c>
      <c r="H50" s="1831"/>
      <c r="I50" s="1031"/>
      <c r="J50" s="724"/>
      <c r="K50" s="211"/>
      <c r="L50" s="188"/>
      <c r="M50" s="188"/>
      <c r="N50" s="188"/>
      <c r="O50" s="188"/>
      <c r="P50" s="188"/>
      <c r="Q50" s="188"/>
      <c r="R50" s="188"/>
      <c r="S50" s="188"/>
      <c r="T50" s="188"/>
      <c r="U50" s="600"/>
    </row>
    <row r="51" spans="1:21" ht="15" customHeight="1">
      <c r="A51" s="188"/>
      <c r="B51" s="870" t="s">
        <v>456</v>
      </c>
      <c r="C51" s="1374"/>
      <c r="D51" s="1374"/>
      <c r="E51" s="1374"/>
      <c r="F51" s="724"/>
      <c r="G51" s="724"/>
      <c r="H51" s="724"/>
      <c r="I51" s="724"/>
      <c r="J51" s="724"/>
      <c r="K51" s="211"/>
      <c r="L51" s="188"/>
      <c r="M51" s="188"/>
      <c r="N51" s="188"/>
      <c r="O51" s="188"/>
      <c r="P51" s="188"/>
      <c r="Q51" s="188"/>
      <c r="R51" s="188"/>
      <c r="S51" s="188"/>
      <c r="T51" s="188"/>
      <c r="U51" s="600"/>
    </row>
    <row r="52" spans="1:21" ht="15" customHeight="1">
      <c r="A52" s="188"/>
      <c r="B52" s="248" t="s">
        <v>457</v>
      </c>
      <c r="C52" s="1374"/>
      <c r="D52" s="1374"/>
      <c r="E52" s="1374"/>
      <c r="F52" s="724"/>
      <c r="G52" s="724"/>
      <c r="H52" s="724"/>
      <c r="I52" s="724"/>
      <c r="J52" s="724"/>
      <c r="K52" s="211"/>
      <c r="L52" s="188"/>
      <c r="M52" s="188"/>
      <c r="N52" s="188"/>
      <c r="O52" s="188"/>
      <c r="P52" s="188"/>
      <c r="Q52" s="188"/>
      <c r="R52" s="188"/>
      <c r="S52" s="188"/>
      <c r="T52" s="188"/>
      <c r="U52" s="600"/>
    </row>
    <row r="53" spans="1:21" ht="15" customHeight="1">
      <c r="A53" s="188"/>
      <c r="B53" s="39" t="s">
        <v>458</v>
      </c>
      <c r="C53" s="130" t="s">
        <v>459</v>
      </c>
      <c r="D53" s="47" t="s">
        <v>460</v>
      </c>
      <c r="E53" s="68">
        <f>E47</f>
        <v>0</v>
      </c>
      <c r="F53" s="52" t="s">
        <v>461</v>
      </c>
      <c r="G53" s="68">
        <f>G47</f>
        <v>0</v>
      </c>
      <c r="H53" s="37" t="s">
        <v>462</v>
      </c>
      <c r="I53" s="313">
        <f>'6) Zone Imp'!M30</f>
        <v>0.8</v>
      </c>
      <c r="J53" s="37" t="s">
        <v>463</v>
      </c>
      <c r="K53" s="67">
        <f>R_Pos</f>
        <v>0</v>
      </c>
      <c r="L53" s="52" t="s">
        <v>464</v>
      </c>
      <c r="M53" s="67">
        <f>X_Pos</f>
        <v>0</v>
      </c>
      <c r="N53" s="51" t="s">
        <v>465</v>
      </c>
      <c r="O53" s="844">
        <f ca="1">'6) Zone Imp'!$E$6</f>
        <v>0</v>
      </c>
      <c r="P53" s="694" t="s">
        <v>466</v>
      </c>
      <c r="U53" s="599" t="s">
        <v>467</v>
      </c>
    </row>
    <row r="54" spans="1:21" ht="15" customHeight="1">
      <c r="A54" s="188"/>
      <c r="B54" s="745"/>
      <c r="C54" s="33"/>
      <c r="D54" s="37"/>
      <c r="E54" s="71"/>
      <c r="F54" s="71" t="s">
        <v>468</v>
      </c>
      <c r="G54" s="314"/>
      <c r="H54" s="314"/>
      <c r="I54" s="71" t="s">
        <v>469</v>
      </c>
      <c r="J54" s="314"/>
      <c r="K54" s="314"/>
      <c r="L54" s="71" t="s">
        <v>470</v>
      </c>
      <c r="M54" s="314"/>
      <c r="N54" s="51"/>
      <c r="O54" s="71" t="s">
        <v>471</v>
      </c>
      <c r="P54"/>
      <c r="Q54"/>
      <c r="R54"/>
      <c r="S54"/>
    </row>
    <row r="55" spans="1:21" ht="9" customHeight="1">
      <c r="A55" s="188"/>
      <c r="B55" s="745"/>
      <c r="C55" s="33"/>
      <c r="D55" s="37"/>
      <c r="E55" s="71"/>
      <c r="F55" s="71"/>
      <c r="G55" s="314"/>
      <c r="H55" s="314"/>
      <c r="I55" s="71"/>
      <c r="J55" s="314"/>
      <c r="K55" s="314"/>
      <c r="L55" s="71"/>
      <c r="M55" s="314"/>
      <c r="N55" s="51"/>
      <c r="O55" s="71"/>
      <c r="P55"/>
      <c r="Q55"/>
      <c r="R55"/>
      <c r="S55"/>
    </row>
    <row r="56" spans="1:21" ht="15" customHeight="1">
      <c r="A56" s="188"/>
      <c r="B56" s="745"/>
      <c r="C56" s="76"/>
      <c r="D56" s="52" t="s">
        <v>365</v>
      </c>
      <c r="E56" s="142">
        <f>SQRT(E53^2+G53^2)</f>
        <v>0</v>
      </c>
      <c r="F56" s="51" t="s">
        <v>472</v>
      </c>
      <c r="G56" s="315">
        <f>I53</f>
        <v>0.8</v>
      </c>
      <c r="H56" s="51" t="s">
        <v>359</v>
      </c>
      <c r="I56" s="142">
        <f ca="1">SQRT(K53^2+M53^2)*O53</f>
        <v>0</v>
      </c>
      <c r="J56" s="86" t="s">
        <v>473</v>
      </c>
      <c r="K56" s="86" t="e">
        <f ca="1">E56/(G56*I56)</f>
        <v>#DIV/0!</v>
      </c>
      <c r="L56" s="71"/>
      <c r="M56" s="314"/>
      <c r="N56" s="51"/>
      <c r="Q56" s="310" t="s">
        <v>474</v>
      </c>
      <c r="R56" s="311" t="s">
        <v>365</v>
      </c>
      <c r="S56" s="312" t="e">
        <f ca="1">K56</f>
        <v>#DIV/0!</v>
      </c>
      <c r="T56" s="317"/>
      <c r="U56" s="599" t="s">
        <v>475</v>
      </c>
    </row>
    <row r="57" spans="1:21" ht="9" customHeight="1">
      <c r="A57" s="188"/>
      <c r="B57" s="745"/>
      <c r="C57" s="33"/>
      <c r="D57" s="52"/>
      <c r="E57" s="142"/>
      <c r="F57" s="51"/>
      <c r="G57" s="315"/>
      <c r="H57" s="51"/>
      <c r="I57" s="142"/>
      <c r="J57" s="86"/>
      <c r="K57" s="86"/>
      <c r="L57" s="71"/>
      <c r="M57" s="314"/>
      <c r="N57" s="51"/>
      <c r="Q57" s="310"/>
      <c r="R57" s="311"/>
      <c r="S57" s="316"/>
      <c r="T57" s="317"/>
    </row>
    <row r="58" spans="1:21" ht="15" customHeight="1">
      <c r="A58" s="188"/>
      <c r="B58" s="248" t="s">
        <v>476</v>
      </c>
      <c r="C58" s="1374"/>
      <c r="D58" s="1374"/>
      <c r="E58" s="1374"/>
      <c r="F58" s="724"/>
      <c r="G58" s="724"/>
      <c r="H58" s="724"/>
      <c r="I58" s="724"/>
      <c r="J58" s="724"/>
      <c r="K58" s="211"/>
      <c r="L58" s="188"/>
      <c r="M58" s="188"/>
      <c r="N58" s="188"/>
      <c r="O58" s="188"/>
      <c r="P58" s="188"/>
      <c r="Q58" s="188"/>
      <c r="R58" s="188"/>
      <c r="S58" s="188"/>
      <c r="T58" s="317"/>
    </row>
    <row r="59" spans="1:21" ht="15" customHeight="1">
      <c r="A59" s="188"/>
      <c r="B59" s="65" t="s">
        <v>477</v>
      </c>
      <c r="C59" s="1374"/>
      <c r="D59" s="47" t="s">
        <v>460</v>
      </c>
      <c r="E59" s="68">
        <f>E47+I47+M47</f>
        <v>0</v>
      </c>
      <c r="F59" s="52" t="s">
        <v>461</v>
      </c>
      <c r="G59" s="68">
        <f>G47+K47+O47</f>
        <v>0</v>
      </c>
      <c r="H59" s="37" t="s">
        <v>462</v>
      </c>
      <c r="I59" s="1188">
        <v>3</v>
      </c>
      <c r="J59" s="724" t="s">
        <v>473</v>
      </c>
      <c r="K59" s="725">
        <f>SQRT((E59/I59)^2+(G59/I59)^2)</f>
        <v>0</v>
      </c>
      <c r="L59" s="680" t="s">
        <v>478</v>
      </c>
      <c r="M59" s="188"/>
      <c r="N59" s="188"/>
      <c r="O59" s="188"/>
      <c r="P59" s="188"/>
      <c r="Q59" s="188"/>
      <c r="R59" s="188"/>
      <c r="S59" s="188"/>
      <c r="T59" s="317"/>
    </row>
    <row r="60" spans="1:21" ht="15" customHeight="1">
      <c r="A60" s="188"/>
      <c r="B60" s="248"/>
      <c r="C60" s="1374"/>
      <c r="D60" s="1374"/>
      <c r="E60" s="726" t="s">
        <v>479</v>
      </c>
      <c r="F60" s="724"/>
      <c r="G60" s="726" t="s">
        <v>480</v>
      </c>
      <c r="H60" s="724"/>
      <c r="I60" s="724"/>
      <c r="J60" s="724"/>
      <c r="K60" s="211"/>
      <c r="L60" s="188"/>
      <c r="M60" s="188"/>
      <c r="N60" s="188"/>
      <c r="O60" s="188"/>
      <c r="P60" s="188"/>
      <c r="Q60" s="188"/>
      <c r="R60" s="188"/>
      <c r="S60" s="188"/>
      <c r="T60" s="317"/>
    </row>
    <row r="61" spans="1:21" ht="15" customHeight="1">
      <c r="A61" s="188"/>
      <c r="B61" s="1805" t="s">
        <v>481</v>
      </c>
      <c r="C61" s="1805"/>
      <c r="D61" s="745" t="s">
        <v>365</v>
      </c>
      <c r="E61" s="1032">
        <f>IMABS(IMDIV(COMPLEX(E59,G59),I59))</f>
        <v>0</v>
      </c>
      <c r="F61" s="724" t="s">
        <v>452</v>
      </c>
      <c r="G61" s="1830" t="e">
        <f>DEGREES(IMARGUMENT(IMDIV(COMPLEX(E59,G59),I59)))</f>
        <v>#DIV/0!</v>
      </c>
      <c r="H61" s="1830"/>
      <c r="I61" s="1829" t="s">
        <v>453</v>
      </c>
      <c r="J61" s="1829"/>
      <c r="K61" s="1829"/>
      <c r="L61" s="188"/>
      <c r="M61" s="188"/>
      <c r="N61" s="188"/>
      <c r="O61" s="188"/>
      <c r="P61" s="188"/>
      <c r="Q61" s="188"/>
      <c r="R61" s="188"/>
      <c r="S61" s="188"/>
      <c r="T61" s="317"/>
    </row>
    <row r="62" spans="1:21" ht="18.75" customHeight="1">
      <c r="A62" s="188"/>
      <c r="B62" s="746"/>
      <c r="C62" s="746"/>
      <c r="D62" s="1374"/>
      <c r="E62" s="1029" t="s">
        <v>482</v>
      </c>
      <c r="F62" s="724"/>
      <c r="G62" s="1831" t="s">
        <v>483</v>
      </c>
      <c r="H62" s="1831"/>
      <c r="I62" s="1031"/>
      <c r="J62" s="724"/>
      <c r="K62" s="211"/>
      <c r="L62" s="188"/>
      <c r="M62" s="188"/>
      <c r="N62" s="188"/>
      <c r="O62" s="188"/>
      <c r="P62" s="188"/>
      <c r="Q62" s="188"/>
      <c r="R62" s="188"/>
      <c r="S62" s="188"/>
      <c r="T62" s="317"/>
    </row>
    <row r="63" spans="1:21" ht="15" customHeight="1">
      <c r="A63" s="188"/>
      <c r="B63" s="248"/>
      <c r="C63" s="1374"/>
      <c r="D63" s="1374"/>
      <c r="E63" s="726"/>
      <c r="F63" s="724"/>
      <c r="G63" s="726"/>
      <c r="H63" s="724"/>
      <c r="I63" s="724"/>
      <c r="J63" s="724"/>
      <c r="K63" s="211"/>
      <c r="L63" s="188"/>
      <c r="M63" s="188"/>
      <c r="N63" s="188"/>
      <c r="O63" s="188"/>
      <c r="P63" s="188"/>
      <c r="Q63" s="188"/>
      <c r="R63" s="188"/>
      <c r="S63" s="188"/>
      <c r="T63" s="317"/>
    </row>
    <row r="64" spans="1:21" ht="15" customHeight="1">
      <c r="A64" s="188"/>
      <c r="B64" s="65" t="s">
        <v>484</v>
      </c>
      <c r="C64" s="1374"/>
      <c r="D64" s="47" t="s">
        <v>460</v>
      </c>
      <c r="E64" s="68">
        <f ca="1">(2*R_Pos+R_Zero)*'6) Zone Imp'!$E$6</f>
        <v>0</v>
      </c>
      <c r="F64" s="52" t="s">
        <v>461</v>
      </c>
      <c r="G64" s="68">
        <f ca="1">(2*X_Pos+X_Zero)*'6) Zone Imp'!$E$6</f>
        <v>0</v>
      </c>
      <c r="H64" s="37" t="s">
        <v>462</v>
      </c>
      <c r="I64" s="1188">
        <v>3</v>
      </c>
      <c r="J64" s="724" t="s">
        <v>473</v>
      </c>
      <c r="K64" s="725">
        <f ca="1">SQRT((E64/I64)^2+(G64/I64)^2)</f>
        <v>0</v>
      </c>
      <c r="L64" s="680" t="s">
        <v>478</v>
      </c>
      <c r="M64" s="188"/>
      <c r="N64" s="188"/>
      <c r="O64" s="188"/>
      <c r="P64" s="188"/>
      <c r="Q64" s="188"/>
      <c r="R64" s="188"/>
      <c r="S64" s="188"/>
      <c r="T64" s="317"/>
    </row>
    <row r="65" spans="1:21" ht="15" customHeight="1">
      <c r="A65" s="188"/>
      <c r="B65" s="248"/>
      <c r="C65" s="1374"/>
      <c r="D65" s="1374"/>
      <c r="E65" s="726" t="s">
        <v>485</v>
      </c>
      <c r="F65" s="724"/>
      <c r="G65" s="726" t="s">
        <v>486</v>
      </c>
      <c r="H65" s="724"/>
      <c r="I65" s="724"/>
      <c r="J65" s="724"/>
      <c r="K65" s="211"/>
      <c r="L65" s="188"/>
      <c r="M65" s="188"/>
      <c r="N65" s="188"/>
      <c r="O65" s="188"/>
      <c r="P65" s="188"/>
      <c r="Q65" s="188"/>
      <c r="R65" s="188"/>
      <c r="S65" s="188"/>
      <c r="T65" s="317"/>
    </row>
    <row r="66" spans="1:21" ht="15" customHeight="1">
      <c r="A66" s="188"/>
      <c r="B66" s="39" t="s">
        <v>458</v>
      </c>
      <c r="C66" s="130" t="s">
        <v>459</v>
      </c>
      <c r="D66" s="47" t="s">
        <v>460</v>
      </c>
      <c r="E66" s="68">
        <f>K59</f>
        <v>0</v>
      </c>
      <c r="F66" s="37" t="s">
        <v>462</v>
      </c>
      <c r="G66" s="313">
        <f>'6) Zone Imp'!M30</f>
        <v>0.8</v>
      </c>
      <c r="H66" s="389" t="s">
        <v>359</v>
      </c>
      <c r="I66" s="68">
        <f ca="1">K64</f>
        <v>0</v>
      </c>
      <c r="J66" s="724" t="s">
        <v>473</v>
      </c>
      <c r="K66" s="142" t="e">
        <f ca="1">E66/(G66*I66)</f>
        <v>#DIV/0!</v>
      </c>
      <c r="L66" s="52"/>
      <c r="M66" s="142"/>
      <c r="N66" s="51"/>
      <c r="O66" s="580"/>
      <c r="T66" s="317"/>
    </row>
    <row r="67" spans="1:21" ht="15" customHeight="1">
      <c r="A67" s="188"/>
      <c r="B67" s="745"/>
      <c r="C67" s="33"/>
      <c r="D67" s="37"/>
      <c r="E67" s="71" t="s">
        <v>477</v>
      </c>
      <c r="F67" s="71"/>
      <c r="G67" s="314"/>
      <c r="H67" s="314"/>
      <c r="I67" s="71" t="s">
        <v>484</v>
      </c>
      <c r="J67" s="314"/>
      <c r="K67" s="314"/>
      <c r="L67" s="71"/>
      <c r="M67" s="314"/>
      <c r="N67" s="51"/>
      <c r="O67" s="71"/>
      <c r="Q67" s="310" t="s">
        <v>487</v>
      </c>
      <c r="R67" s="311" t="s">
        <v>365</v>
      </c>
      <c r="S67" s="312" t="e">
        <f ca="1">K66</f>
        <v>#DIV/0!</v>
      </c>
      <c r="T67" s="317"/>
      <c r="U67" s="599" t="s">
        <v>488</v>
      </c>
    </row>
    <row r="68" spans="1:21" ht="15" customHeight="1">
      <c r="A68" s="188"/>
      <c r="B68" s="745"/>
      <c r="C68" s="33"/>
      <c r="D68" s="37"/>
      <c r="E68" s="71"/>
      <c r="F68" s="71"/>
      <c r="G68" s="314"/>
      <c r="H68" s="314"/>
      <c r="I68" s="71"/>
      <c r="J68" s="314"/>
      <c r="K68" s="314"/>
      <c r="L68" s="71"/>
      <c r="M68" s="314"/>
      <c r="N68" s="51"/>
      <c r="O68" s="71"/>
      <c r="Q68" s="310"/>
      <c r="R68" s="311"/>
      <c r="S68" s="312"/>
      <c r="T68" s="317"/>
    </row>
    <row r="69" spans="1:21" ht="15" customHeight="1">
      <c r="A69" s="188"/>
      <c r="B69" s="248" t="s">
        <v>489</v>
      </c>
      <c r="C69" s="33"/>
      <c r="D69" s="37"/>
      <c r="E69" s="71"/>
      <c r="F69" s="71"/>
      <c r="G69" s="314"/>
      <c r="H69" s="314"/>
      <c r="I69" s="71"/>
      <c r="J69" s="314"/>
      <c r="K69" s="314"/>
      <c r="L69" s="71"/>
      <c r="M69" s="314"/>
      <c r="N69" s="51"/>
      <c r="O69" s="71"/>
      <c r="Q69" s="310"/>
      <c r="R69" s="311"/>
      <c r="S69" s="312"/>
      <c r="T69" s="317"/>
    </row>
    <row r="70" spans="1:21" ht="15" customHeight="1">
      <c r="A70" s="188"/>
      <c r="B70" s="1825" t="s">
        <v>490</v>
      </c>
      <c r="C70" s="1826"/>
      <c r="E70" s="841"/>
      <c r="F70" s="724"/>
      <c r="G70" s="724"/>
      <c r="H70" s="724"/>
      <c r="I70" s="724"/>
      <c r="J70" s="724"/>
      <c r="K70" s="211"/>
      <c r="L70" s="188"/>
      <c r="M70" s="188"/>
      <c r="N70" s="188"/>
      <c r="Q70" s="310" t="s">
        <v>438</v>
      </c>
      <c r="R70" s="311" t="s">
        <v>365</v>
      </c>
      <c r="S70" s="312">
        <f>E70</f>
        <v>0</v>
      </c>
      <c r="T70" s="188"/>
    </row>
    <row r="71" spans="1:21" ht="15" customHeight="1">
      <c r="A71" s="188"/>
      <c r="B71" s="1825" t="s">
        <v>491</v>
      </c>
      <c r="C71" s="1826"/>
      <c r="E71" s="841"/>
      <c r="F71" s="724"/>
      <c r="G71" s="724"/>
      <c r="H71" s="724"/>
      <c r="I71" s="724"/>
      <c r="J71" s="724"/>
      <c r="K71" s="211"/>
      <c r="L71" s="188"/>
      <c r="M71" s="188"/>
      <c r="N71" s="188"/>
      <c r="Q71" s="310" t="s">
        <v>441</v>
      </c>
      <c r="R71" s="311" t="s">
        <v>365</v>
      </c>
      <c r="S71" s="312">
        <f>E71</f>
        <v>0</v>
      </c>
      <c r="T71" s="188"/>
    </row>
    <row r="72" spans="1:21" ht="15" customHeight="1">
      <c r="A72" s="188"/>
      <c r="B72" s="1827" t="s">
        <v>443</v>
      </c>
      <c r="C72" s="1827"/>
      <c r="D72" s="1374"/>
      <c r="E72" s="1186" t="s">
        <v>444</v>
      </c>
      <c r="F72" s="742"/>
      <c r="G72" s="742" t="s">
        <v>445</v>
      </c>
      <c r="H72" s="742"/>
      <c r="I72" s="742" t="s">
        <v>446</v>
      </c>
      <c r="J72" s="742"/>
      <c r="K72" s="743" t="s">
        <v>447</v>
      </c>
      <c r="L72" s="742"/>
      <c r="M72" s="742" t="s">
        <v>448</v>
      </c>
      <c r="N72" s="742"/>
      <c r="O72" s="743" t="s">
        <v>449</v>
      </c>
      <c r="P72" s="188"/>
      <c r="Q72" s="188"/>
      <c r="R72" s="188"/>
      <c r="S72" s="188"/>
      <c r="T72" s="188"/>
      <c r="U72" s="600"/>
    </row>
    <row r="73" spans="1:21" ht="15" customHeight="1">
      <c r="A73" s="188"/>
      <c r="B73" s="1827" t="s">
        <v>492</v>
      </c>
      <c r="C73" s="1827"/>
      <c r="D73" s="1374"/>
      <c r="E73" s="842"/>
      <c r="F73" s="1187"/>
      <c r="G73" s="842"/>
      <c r="H73" s="1187"/>
      <c r="I73" s="842"/>
      <c r="J73" s="1187"/>
      <c r="K73" s="842"/>
      <c r="L73" s="1187"/>
      <c r="M73" s="842"/>
      <c r="N73" s="1187"/>
      <c r="O73" s="842"/>
      <c r="P73" s="188"/>
      <c r="Q73" s="188"/>
      <c r="R73" s="188"/>
      <c r="S73" s="188"/>
      <c r="T73" s="188"/>
      <c r="U73" s="600"/>
    </row>
    <row r="74" spans="1:21" ht="15" customHeight="1">
      <c r="A74" s="188"/>
      <c r="B74" s="1376"/>
      <c r="C74" s="1376"/>
      <c r="D74" s="1374"/>
      <c r="E74" s="1033"/>
      <c r="F74" s="1189"/>
      <c r="G74" s="1033"/>
      <c r="H74" s="1189"/>
      <c r="I74" s="1033"/>
      <c r="J74" s="1189"/>
      <c r="K74" s="1033"/>
      <c r="L74" s="1189"/>
      <c r="M74" s="1033"/>
      <c r="N74" s="1189"/>
      <c r="O74" s="1033"/>
      <c r="P74" s="188"/>
      <c r="Q74" s="188"/>
      <c r="R74" s="188"/>
      <c r="S74" s="188"/>
      <c r="T74" s="188"/>
      <c r="U74" s="600"/>
    </row>
    <row r="75" spans="1:21" ht="15" customHeight="1">
      <c r="A75" s="188"/>
      <c r="B75" s="1805" t="s">
        <v>451</v>
      </c>
      <c r="C75" s="1805"/>
      <c r="D75" s="745" t="s">
        <v>365</v>
      </c>
      <c r="E75" s="1030">
        <f>IMABS(COMPLEX(E73,G73))</f>
        <v>0</v>
      </c>
      <c r="F75" s="724" t="s">
        <v>452</v>
      </c>
      <c r="G75" s="1830" t="e">
        <f>DEGREES(IMARGUMENT(COMPLEX(E73,G73)))</f>
        <v>#DIV/0!</v>
      </c>
      <c r="H75" s="1830"/>
      <c r="I75" s="1829" t="s">
        <v>493</v>
      </c>
      <c r="J75" s="1829"/>
      <c r="K75" s="1829"/>
      <c r="L75" s="1189"/>
      <c r="M75" s="1033"/>
      <c r="N75" s="1189"/>
      <c r="O75" s="1033"/>
      <c r="P75" s="188"/>
      <c r="Q75" s="188"/>
      <c r="R75" s="188"/>
      <c r="S75" s="188"/>
      <c r="T75" s="188"/>
      <c r="U75" s="600"/>
    </row>
    <row r="76" spans="1:21" ht="21" customHeight="1">
      <c r="A76" s="188"/>
      <c r="B76" s="746"/>
      <c r="C76" s="746"/>
      <c r="D76" s="1374"/>
      <c r="E76" s="726" t="s">
        <v>454</v>
      </c>
      <c r="F76" s="724"/>
      <c r="G76" s="1831" t="s">
        <v>455</v>
      </c>
      <c r="H76" s="1831"/>
      <c r="I76" s="1031"/>
      <c r="J76" s="724"/>
      <c r="K76" s="211"/>
      <c r="L76" s="1189"/>
      <c r="M76" s="1033"/>
      <c r="N76" s="1189"/>
      <c r="O76" s="1033"/>
      <c r="P76" s="188"/>
      <c r="Q76" s="188"/>
      <c r="R76" s="188"/>
      <c r="S76" s="188"/>
      <c r="T76" s="188"/>
      <c r="U76" s="600"/>
    </row>
    <row r="77" spans="1:21" ht="15" customHeight="1">
      <c r="A77" s="188"/>
      <c r="B77" s="745"/>
      <c r="C77" s="33"/>
      <c r="D77" s="37"/>
      <c r="E77" s="71"/>
      <c r="F77" s="71"/>
      <c r="G77" s="314"/>
      <c r="H77" s="314"/>
      <c r="I77" s="71"/>
      <c r="J77" s="314"/>
      <c r="K77" s="314"/>
      <c r="L77" s="71"/>
      <c r="M77" s="314"/>
      <c r="N77" s="51"/>
      <c r="O77" s="71"/>
      <c r="Q77" s="310"/>
      <c r="R77" s="311"/>
      <c r="S77" s="312"/>
      <c r="T77" s="317"/>
    </row>
    <row r="78" spans="1:21" ht="15" customHeight="1">
      <c r="A78" s="188"/>
      <c r="B78" s="870" t="s">
        <v>456</v>
      </c>
      <c r="C78" s="1374"/>
      <c r="D78" s="1374"/>
      <c r="E78" s="1374"/>
      <c r="F78" s="724"/>
      <c r="G78" s="724"/>
      <c r="H78" s="724"/>
      <c r="I78" s="724"/>
      <c r="J78" s="724"/>
      <c r="K78" s="211"/>
      <c r="L78" s="188"/>
      <c r="M78" s="188"/>
      <c r="N78" s="188"/>
      <c r="O78" s="188"/>
      <c r="P78" s="188"/>
      <c r="Q78" s="188"/>
      <c r="R78" s="188"/>
      <c r="S78" s="188"/>
      <c r="T78" s="188"/>
      <c r="U78" s="600"/>
    </row>
    <row r="79" spans="1:21" ht="15" customHeight="1">
      <c r="A79" s="188"/>
      <c r="B79" s="248" t="s">
        <v>457</v>
      </c>
      <c r="C79" s="1374"/>
      <c r="D79" s="1374"/>
      <c r="E79" s="1374"/>
      <c r="F79" s="724"/>
      <c r="G79" s="724"/>
      <c r="H79" s="724"/>
      <c r="I79" s="724"/>
      <c r="J79" s="724"/>
      <c r="K79" s="211"/>
      <c r="L79" s="188"/>
      <c r="M79" s="188"/>
      <c r="N79" s="188"/>
      <c r="O79" s="188"/>
      <c r="P79" s="188"/>
      <c r="Q79" s="188"/>
      <c r="R79" s="188"/>
      <c r="S79" s="188"/>
      <c r="T79" s="188"/>
      <c r="U79" s="600"/>
    </row>
    <row r="80" spans="1:21" ht="15" customHeight="1">
      <c r="A80" s="188"/>
      <c r="B80" s="39" t="s">
        <v>458</v>
      </c>
      <c r="C80" s="130" t="s">
        <v>459</v>
      </c>
      <c r="D80" s="47" t="s">
        <v>460</v>
      </c>
      <c r="E80" s="68">
        <f>E73</f>
        <v>0</v>
      </c>
      <c r="F80" s="52" t="s">
        <v>461</v>
      </c>
      <c r="G80" s="68">
        <f>G73</f>
        <v>0</v>
      </c>
      <c r="H80" s="37" t="s">
        <v>462</v>
      </c>
      <c r="I80" s="313">
        <f>'6) Zone Imp'!M30</f>
        <v>0.8</v>
      </c>
      <c r="J80" s="37" t="s">
        <v>463</v>
      </c>
      <c r="K80" s="67">
        <f>R_Pos</f>
        <v>0</v>
      </c>
      <c r="L80" s="52" t="s">
        <v>464</v>
      </c>
      <c r="M80" s="67">
        <f>X_Pos</f>
        <v>0</v>
      </c>
      <c r="N80" s="51" t="s">
        <v>465</v>
      </c>
      <c r="O80" s="844">
        <f ca="1">'6) Zone Imp'!$E$6</f>
        <v>0</v>
      </c>
      <c r="P80" s="694" t="s">
        <v>466</v>
      </c>
    </row>
    <row r="81" spans="1:20" ht="15" customHeight="1">
      <c r="A81" s="188"/>
      <c r="B81" s="745"/>
      <c r="C81" s="33"/>
      <c r="D81" s="37"/>
      <c r="E81" s="71"/>
      <c r="F81" s="71" t="s">
        <v>468</v>
      </c>
      <c r="G81" s="314"/>
      <c r="H81" s="314"/>
      <c r="I81" s="71" t="s">
        <v>469</v>
      </c>
      <c r="J81" s="314"/>
      <c r="K81" s="314"/>
      <c r="L81" s="71" t="s">
        <v>470</v>
      </c>
      <c r="M81" s="314"/>
      <c r="N81" s="51"/>
      <c r="O81" s="71" t="s">
        <v>471</v>
      </c>
      <c r="P81"/>
      <c r="Q81"/>
      <c r="R81"/>
      <c r="S81"/>
    </row>
    <row r="82" spans="1:20" ht="14.25" customHeight="1">
      <c r="A82" s="188"/>
      <c r="B82" s="745"/>
      <c r="C82" s="33"/>
      <c r="D82" s="37"/>
      <c r="E82" s="71"/>
      <c r="F82" s="71"/>
      <c r="G82" s="314"/>
      <c r="H82" s="314"/>
      <c r="I82" s="71"/>
      <c r="J82" s="314"/>
      <c r="K82" s="314"/>
      <c r="L82" s="71"/>
      <c r="M82" s="314"/>
      <c r="N82" s="51"/>
      <c r="O82" s="71"/>
      <c r="P82"/>
      <c r="Q82"/>
      <c r="R82"/>
      <c r="S82"/>
    </row>
    <row r="83" spans="1:20" ht="15" customHeight="1">
      <c r="A83" s="188"/>
      <c r="B83" s="745"/>
      <c r="C83" s="33"/>
      <c r="D83" s="52" t="s">
        <v>365</v>
      </c>
      <c r="E83" s="142">
        <f>SQRT(E80^2+G80^2)</f>
        <v>0</v>
      </c>
      <c r="F83" s="51" t="s">
        <v>472</v>
      </c>
      <c r="G83" s="315">
        <f>I80</f>
        <v>0.8</v>
      </c>
      <c r="H83" s="51" t="s">
        <v>359</v>
      </c>
      <c r="I83" s="142">
        <f ca="1">SQRT(K80^2+M80^2)*O80</f>
        <v>0</v>
      </c>
      <c r="J83" s="86" t="s">
        <v>473</v>
      </c>
      <c r="K83" s="86" t="e">
        <f ca="1">E83/(G83*I83)</f>
        <v>#DIV/0!</v>
      </c>
      <c r="L83" s="71"/>
      <c r="M83" s="314"/>
      <c r="N83" s="51"/>
      <c r="Q83" s="310" t="s">
        <v>474</v>
      </c>
      <c r="R83" s="311" t="s">
        <v>365</v>
      </c>
      <c r="S83" s="312" t="e">
        <f ca="1">K83</f>
        <v>#DIV/0!</v>
      </c>
      <c r="T83" s="317"/>
    </row>
    <row r="84" spans="1:20" ht="15" customHeight="1">
      <c r="A84" s="188"/>
      <c r="B84" s="745"/>
      <c r="C84" s="33"/>
      <c r="D84" s="388" t="s">
        <v>365</v>
      </c>
      <c r="E84" s="142"/>
      <c r="F84" s="392" t="s">
        <v>452</v>
      </c>
      <c r="G84" s="70" t="e">
        <f>ATAN(G73/E73)*(180/PI())</f>
        <v>#DIV/0!</v>
      </c>
      <c r="H84" s="51"/>
      <c r="I84" s="142"/>
      <c r="J84" s="86"/>
      <c r="K84" s="86"/>
      <c r="L84" s="71"/>
      <c r="M84" s="314"/>
      <c r="N84" s="51"/>
      <c r="Q84" s="310"/>
      <c r="R84" s="311"/>
      <c r="S84" s="312"/>
      <c r="T84" s="317"/>
    </row>
    <row r="85" spans="1:20" ht="15" customHeight="1">
      <c r="A85" s="188"/>
      <c r="B85" s="745"/>
      <c r="C85" s="33"/>
      <c r="D85" s="52"/>
      <c r="E85" s="142"/>
      <c r="F85" s="51"/>
      <c r="G85" s="315"/>
      <c r="H85" s="51"/>
      <c r="I85" s="142"/>
      <c r="J85" s="86"/>
      <c r="K85" s="86"/>
      <c r="L85" s="71"/>
      <c r="M85" s="314"/>
      <c r="N85" s="51"/>
      <c r="Q85" s="310"/>
      <c r="R85" s="311"/>
      <c r="S85" s="316"/>
      <c r="T85" s="317"/>
    </row>
    <row r="86" spans="1:20" ht="15" customHeight="1">
      <c r="A86" s="188"/>
      <c r="B86" s="248" t="s">
        <v>476</v>
      </c>
      <c r="C86" s="1374"/>
      <c r="D86" s="1374"/>
      <c r="E86" s="1374"/>
      <c r="F86" s="724"/>
      <c r="G86" s="724"/>
      <c r="H86" s="724"/>
      <c r="I86" s="724"/>
      <c r="J86" s="724"/>
      <c r="K86" s="211"/>
      <c r="L86" s="188"/>
      <c r="M86" s="188"/>
      <c r="N86" s="188"/>
      <c r="O86" s="188"/>
      <c r="P86" s="188"/>
      <c r="Q86" s="188"/>
      <c r="R86" s="188"/>
      <c r="S86" s="188"/>
      <c r="T86" s="317"/>
    </row>
    <row r="87" spans="1:20" ht="15" customHeight="1">
      <c r="A87" s="188"/>
      <c r="B87" s="65" t="s">
        <v>477</v>
      </c>
      <c r="C87" s="1374"/>
      <c r="D87" s="47" t="s">
        <v>460</v>
      </c>
      <c r="E87" s="68">
        <f>E73+I73+M73</f>
        <v>0</v>
      </c>
      <c r="F87" s="52" t="s">
        <v>461</v>
      </c>
      <c r="G87" s="68">
        <f>G73+K73+O73</f>
        <v>0</v>
      </c>
      <c r="H87" s="37" t="s">
        <v>462</v>
      </c>
      <c r="I87" s="1188">
        <v>3</v>
      </c>
      <c r="J87" s="724" t="s">
        <v>473</v>
      </c>
      <c r="K87" s="725">
        <f>SQRT((E87/I87)^2+(G87/I87)^2)</f>
        <v>0</v>
      </c>
      <c r="L87" s="680" t="s">
        <v>478</v>
      </c>
      <c r="M87" s="188"/>
      <c r="N87" s="188"/>
      <c r="O87" s="188"/>
      <c r="P87" s="188"/>
      <c r="Q87" s="188"/>
      <c r="R87" s="188"/>
      <c r="S87" s="188"/>
      <c r="T87" s="317"/>
    </row>
    <row r="88" spans="1:20" ht="15" customHeight="1">
      <c r="A88" s="188"/>
      <c r="B88" s="248"/>
      <c r="C88" s="1374"/>
      <c r="D88" s="1374"/>
      <c r="E88" s="726" t="s">
        <v>479</v>
      </c>
      <c r="F88" s="724"/>
      <c r="G88" s="726" t="s">
        <v>480</v>
      </c>
      <c r="H88" s="724"/>
      <c r="I88" s="724"/>
      <c r="J88" s="724"/>
      <c r="K88" s="211"/>
      <c r="L88" s="188"/>
      <c r="M88" s="188"/>
      <c r="N88" s="188"/>
      <c r="O88" s="188"/>
      <c r="P88" s="188"/>
      <c r="Q88" s="188"/>
      <c r="R88" s="188"/>
      <c r="S88" s="188"/>
      <c r="T88" s="317"/>
    </row>
    <row r="89" spans="1:20" ht="15" customHeight="1">
      <c r="A89" s="188"/>
      <c r="B89" s="1805" t="s">
        <v>481</v>
      </c>
      <c r="C89" s="1805"/>
      <c r="D89" s="745" t="s">
        <v>365</v>
      </c>
      <c r="E89" s="1032">
        <f>IMABS(IMDIV(COMPLEX(E87,G87),I87))</f>
        <v>0</v>
      </c>
      <c r="F89" s="724" t="s">
        <v>452</v>
      </c>
      <c r="G89" s="1830" t="e">
        <f>DEGREES(IMARGUMENT(IMDIV(COMPLEX(E87,G87),I87)))</f>
        <v>#DIV/0!</v>
      </c>
      <c r="H89" s="1830"/>
      <c r="I89" s="1829" t="s">
        <v>453</v>
      </c>
      <c r="J89" s="1829"/>
      <c r="K89" s="1829"/>
      <c r="L89" s="188"/>
      <c r="M89" s="188"/>
      <c r="N89" s="188"/>
      <c r="O89" s="188"/>
      <c r="P89" s="188"/>
      <c r="Q89" s="188"/>
      <c r="R89" s="188"/>
      <c r="S89" s="188"/>
      <c r="T89" s="317"/>
    </row>
    <row r="90" spans="1:20" ht="18" customHeight="1">
      <c r="A90" s="188"/>
      <c r="B90" s="746"/>
      <c r="C90" s="746"/>
      <c r="D90" s="1374"/>
      <c r="E90" s="1029" t="s">
        <v>482</v>
      </c>
      <c r="F90" s="724"/>
      <c r="G90" s="1831" t="s">
        <v>483</v>
      </c>
      <c r="H90" s="1831"/>
      <c r="I90" s="1031"/>
      <c r="J90" s="724"/>
      <c r="K90" s="211"/>
      <c r="L90" s="188"/>
      <c r="M90" s="188"/>
      <c r="N90" s="188"/>
      <c r="O90" s="188"/>
      <c r="P90" s="188"/>
      <c r="Q90" s="188"/>
      <c r="R90" s="188"/>
      <c r="S90" s="188"/>
      <c r="T90" s="317"/>
    </row>
    <row r="91" spans="1:20" ht="7.5" customHeight="1">
      <c r="A91" s="188"/>
      <c r="B91" s="248"/>
      <c r="C91" s="1374"/>
      <c r="D91" s="1374"/>
      <c r="E91" s="726"/>
      <c r="F91" s="724"/>
      <c r="G91" s="726"/>
      <c r="H91" s="724"/>
      <c r="I91" s="724"/>
      <c r="J91" s="724"/>
      <c r="K91" s="211"/>
      <c r="L91" s="188"/>
      <c r="M91" s="188"/>
      <c r="N91" s="188"/>
      <c r="O91" s="188"/>
      <c r="P91" s="188"/>
      <c r="Q91" s="188"/>
      <c r="R91" s="188"/>
      <c r="S91" s="188"/>
      <c r="T91" s="317"/>
    </row>
    <row r="92" spans="1:20" ht="15" customHeight="1">
      <c r="A92" s="188"/>
      <c r="B92" s="65" t="s">
        <v>484</v>
      </c>
      <c r="C92" s="1374"/>
      <c r="D92" s="47" t="s">
        <v>460</v>
      </c>
      <c r="E92" s="68">
        <f ca="1">(2*R_Pos+R_Zero)*'6) Zone Imp'!$E$6</f>
        <v>0</v>
      </c>
      <c r="F92" s="52" t="s">
        <v>461</v>
      </c>
      <c r="G92" s="68">
        <f ca="1">(2*X_Pos+X_Zero)*'6) Zone Imp'!$E$6</f>
        <v>0</v>
      </c>
      <c r="H92" s="37" t="s">
        <v>462</v>
      </c>
      <c r="I92" s="1188">
        <v>3</v>
      </c>
      <c r="J92" s="724" t="s">
        <v>473</v>
      </c>
      <c r="K92" s="725">
        <f ca="1">SQRT((E92/I92)^2+(G92/I92)^2)</f>
        <v>0</v>
      </c>
      <c r="L92" s="680" t="s">
        <v>478</v>
      </c>
      <c r="M92" s="188"/>
      <c r="N92" s="188"/>
      <c r="O92" s="188"/>
      <c r="P92" s="188"/>
      <c r="Q92" s="188"/>
      <c r="R92" s="188"/>
      <c r="S92" s="188"/>
      <c r="T92" s="317"/>
    </row>
    <row r="93" spans="1:20" ht="15" customHeight="1">
      <c r="A93" s="188"/>
      <c r="B93" s="248"/>
      <c r="C93" s="1374"/>
      <c r="D93" s="1374"/>
      <c r="E93" s="726" t="s">
        <v>485</v>
      </c>
      <c r="F93" s="724"/>
      <c r="G93" s="726" t="s">
        <v>486</v>
      </c>
      <c r="H93" s="724"/>
      <c r="I93" s="724"/>
      <c r="J93" s="724"/>
      <c r="K93" s="211"/>
      <c r="L93" s="188"/>
      <c r="M93" s="188"/>
      <c r="N93" s="188"/>
      <c r="O93" s="188"/>
      <c r="P93" s="188"/>
      <c r="Q93" s="188"/>
      <c r="R93" s="188"/>
      <c r="S93" s="188"/>
      <c r="T93" s="317"/>
    </row>
    <row r="94" spans="1:20" ht="15" customHeight="1">
      <c r="A94" s="188"/>
      <c r="B94" s="39" t="s">
        <v>458</v>
      </c>
      <c r="C94" s="130" t="s">
        <v>459</v>
      </c>
      <c r="D94" s="47" t="s">
        <v>460</v>
      </c>
      <c r="E94" s="68">
        <f>K87</f>
        <v>0</v>
      </c>
      <c r="F94" s="37" t="s">
        <v>462</v>
      </c>
      <c r="G94" s="313">
        <f>'6) Zone Imp'!M30</f>
        <v>0.8</v>
      </c>
      <c r="H94" s="389" t="s">
        <v>359</v>
      </c>
      <c r="I94" s="68">
        <f ca="1">K92</f>
        <v>0</v>
      </c>
      <c r="J94" s="724" t="s">
        <v>473</v>
      </c>
      <c r="K94" s="142" t="e">
        <f ca="1">E94/(G94*I94)</f>
        <v>#DIV/0!</v>
      </c>
      <c r="L94" s="52"/>
      <c r="M94" s="142"/>
      <c r="N94" s="51"/>
      <c r="O94" s="580"/>
      <c r="T94" s="317"/>
    </row>
    <row r="95" spans="1:20" ht="15" customHeight="1">
      <c r="A95" s="188"/>
      <c r="B95" s="745"/>
      <c r="C95" s="33"/>
      <c r="D95" s="37"/>
      <c r="E95" s="71" t="s">
        <v>477</v>
      </c>
      <c r="F95" s="71"/>
      <c r="G95" s="314"/>
      <c r="H95" s="314"/>
      <c r="I95" s="71" t="s">
        <v>484</v>
      </c>
      <c r="J95" s="314"/>
      <c r="K95" s="314"/>
      <c r="L95" s="71"/>
      <c r="M95" s="314"/>
      <c r="N95" s="51"/>
      <c r="O95" s="71"/>
      <c r="Q95" s="310" t="s">
        <v>487</v>
      </c>
      <c r="R95" s="311" t="s">
        <v>365</v>
      </c>
      <c r="S95" s="312" t="e">
        <f ca="1">K94</f>
        <v>#DIV/0!</v>
      </c>
      <c r="T95" s="317"/>
    </row>
    <row r="96" spans="1:20" ht="15" customHeight="1">
      <c r="A96" s="188"/>
      <c r="B96" s="745"/>
      <c r="C96" s="33"/>
      <c r="D96" s="37"/>
      <c r="E96" s="71"/>
      <c r="F96" s="71"/>
      <c r="G96" s="314"/>
      <c r="H96" s="314"/>
      <c r="I96" s="71"/>
      <c r="J96" s="314"/>
      <c r="K96" s="314"/>
      <c r="L96" s="71"/>
      <c r="M96" s="314"/>
      <c r="N96" s="51"/>
      <c r="O96" s="71"/>
      <c r="P96"/>
      <c r="Q96"/>
      <c r="R96"/>
      <c r="S96"/>
      <c r="T96" s="317"/>
    </row>
    <row r="97" spans="1:21" ht="15" customHeight="1">
      <c r="A97" s="188"/>
      <c r="P97"/>
      <c r="Q97"/>
      <c r="R97"/>
      <c r="S97"/>
      <c r="T97" s="317"/>
    </row>
    <row r="98" spans="1:21" ht="15" customHeight="1">
      <c r="A98" s="188"/>
      <c r="B98" s="1824" t="s">
        <v>494</v>
      </c>
      <c r="C98" s="1824"/>
      <c r="D98" s="1824"/>
      <c r="E98" s="1824"/>
      <c r="F98" s="1824"/>
      <c r="G98" s="1824"/>
      <c r="H98" s="1824"/>
      <c r="I98" s="1824"/>
      <c r="J98" s="1824"/>
      <c r="K98" s="1824"/>
      <c r="L98" s="1824"/>
      <c r="M98" s="1824"/>
      <c r="N98" s="1824"/>
      <c r="O98" s="1824"/>
      <c r="P98" s="1804" t="s">
        <v>495</v>
      </c>
      <c r="Q98" s="1804"/>
      <c r="R98" s="1024" t="s">
        <v>365</v>
      </c>
      <c r="S98" s="1028">
        <f>MAX(S44,S70)</f>
        <v>0</v>
      </c>
      <c r="T98" s="317"/>
    </row>
    <row r="99" spans="1:21" ht="5.25" customHeight="1">
      <c r="A99" s="188"/>
      <c r="B99" s="1824" t="s">
        <v>496</v>
      </c>
      <c r="C99" s="1824"/>
      <c r="D99" s="1824"/>
      <c r="E99" s="1824"/>
      <c r="F99" s="1824"/>
      <c r="G99" s="1824"/>
      <c r="H99" s="1824"/>
      <c r="I99" s="1824"/>
      <c r="J99" s="1824"/>
      <c r="K99" s="1824"/>
      <c r="L99" s="1824"/>
      <c r="M99" s="314"/>
      <c r="N99" s="51"/>
      <c r="O99" s="71"/>
      <c r="P99" s="722"/>
      <c r="Q99" s="722"/>
      <c r="R99" s="1024"/>
      <c r="S99" s="53"/>
      <c r="T99" s="317"/>
    </row>
    <row r="100" spans="1:21" ht="15" customHeight="1">
      <c r="A100" s="188"/>
      <c r="B100" s="1824"/>
      <c r="C100" s="1824"/>
      <c r="D100" s="1824"/>
      <c r="E100" s="1824"/>
      <c r="F100" s="1824"/>
      <c r="G100" s="1824"/>
      <c r="H100" s="1824"/>
      <c r="I100" s="1824"/>
      <c r="J100" s="1824"/>
      <c r="K100" s="1824"/>
      <c r="L100" s="1824"/>
      <c r="M100" s="314"/>
      <c r="N100" s="51"/>
      <c r="O100" s="71"/>
      <c r="P100" s="1804" t="s">
        <v>497</v>
      </c>
      <c r="Q100" s="1804"/>
      <c r="R100" s="1024" t="s">
        <v>365</v>
      </c>
      <c r="S100" s="1028">
        <f>MAX(S71)</f>
        <v>0</v>
      </c>
      <c r="T100" s="317"/>
    </row>
    <row r="101" spans="1:21" ht="5.25" customHeight="1">
      <c r="A101" s="188"/>
      <c r="B101" s="1824"/>
      <c r="C101" s="1824"/>
      <c r="D101" s="1824"/>
      <c r="E101" s="1824"/>
      <c r="F101" s="1824"/>
      <c r="G101" s="1824"/>
      <c r="H101" s="1824"/>
      <c r="I101" s="1824"/>
      <c r="J101" s="1824"/>
      <c r="K101" s="1824"/>
      <c r="L101" s="1824"/>
      <c r="M101" s="314"/>
      <c r="N101" s="51"/>
      <c r="O101" s="71"/>
      <c r="P101" s="722"/>
      <c r="Q101" s="722"/>
      <c r="R101" s="1024"/>
      <c r="S101" s="53"/>
      <c r="T101" s="317"/>
    </row>
    <row r="102" spans="1:21" ht="15" customHeight="1">
      <c r="A102" s="188"/>
      <c r="B102" s="1824"/>
      <c r="C102" s="1824"/>
      <c r="D102" s="1824"/>
      <c r="E102" s="1824"/>
      <c r="F102" s="1824"/>
      <c r="G102" s="1824"/>
      <c r="H102" s="1824"/>
      <c r="I102" s="1824"/>
      <c r="J102" s="1824"/>
      <c r="K102" s="1824"/>
      <c r="L102" s="1824"/>
      <c r="M102" s="314"/>
      <c r="N102" s="51"/>
      <c r="O102" s="1804" t="s">
        <v>498</v>
      </c>
      <c r="P102" s="1804"/>
      <c r="Q102" s="1804"/>
      <c r="R102" s="1024" t="s">
        <v>365</v>
      </c>
      <c r="S102" s="1028" t="e">
        <f ca="1">MAX(S56,S83)</f>
        <v>#DIV/0!</v>
      </c>
      <c r="T102" s="317"/>
    </row>
    <row r="103" spans="1:21" ht="4.5" customHeight="1">
      <c r="A103" s="188"/>
      <c r="B103" s="1824"/>
      <c r="C103" s="1824"/>
      <c r="D103" s="1824"/>
      <c r="E103" s="1824"/>
      <c r="F103" s="1824"/>
      <c r="G103" s="1824"/>
      <c r="H103" s="1824"/>
      <c r="I103" s="1824"/>
      <c r="J103" s="1824"/>
      <c r="K103" s="1824"/>
      <c r="L103" s="1824"/>
      <c r="M103" s="314"/>
      <c r="N103" s="51"/>
      <c r="O103" s="722"/>
      <c r="P103" s="722"/>
      <c r="Q103" s="722"/>
      <c r="R103" s="1024"/>
      <c r="S103" s="53"/>
      <c r="T103" s="317"/>
    </row>
    <row r="104" spans="1:21" ht="15" customHeight="1">
      <c r="A104" s="188"/>
      <c r="B104" s="745"/>
      <c r="C104" s="33"/>
      <c r="D104" s="37"/>
      <c r="E104" s="71"/>
      <c r="F104" s="71"/>
      <c r="G104" s="314"/>
      <c r="H104" s="314"/>
      <c r="I104" s="71"/>
      <c r="J104" s="314"/>
      <c r="K104" s="314"/>
      <c r="L104" s="71"/>
      <c r="M104" s="314"/>
      <c r="N104" s="51"/>
      <c r="O104" s="71"/>
      <c r="P104" s="1804" t="s">
        <v>487</v>
      </c>
      <c r="Q104" s="1804"/>
      <c r="R104" s="1024" t="s">
        <v>365</v>
      </c>
      <c r="S104" s="1028" t="e">
        <f ca="1">MAX(S67,S95)</f>
        <v>#DIV/0!</v>
      </c>
      <c r="T104" s="317"/>
    </row>
    <row r="105" spans="1:21" ht="15" customHeight="1">
      <c r="A105" s="188"/>
      <c r="B105" s="1034"/>
      <c r="C105" s="1034"/>
      <c r="D105" s="1034"/>
      <c r="E105" s="1034"/>
      <c r="F105" s="1034"/>
      <c r="G105" s="1034"/>
      <c r="H105" s="1034"/>
      <c r="I105" s="1034"/>
      <c r="J105" s="1034"/>
      <c r="K105" s="1034"/>
      <c r="L105" s="1034"/>
      <c r="M105" s="1034"/>
      <c r="N105" s="1021"/>
      <c r="O105" s="1021"/>
      <c r="Q105" s="310"/>
      <c r="R105" s="311"/>
      <c r="S105" s="312"/>
      <c r="T105" s="317"/>
    </row>
    <row r="106" spans="1:21" ht="17.399999999999999">
      <c r="A106" s="187"/>
      <c r="B106" s="212" t="s">
        <v>499</v>
      </c>
      <c r="C106" s="212"/>
      <c r="D106" s="187"/>
      <c r="E106" s="187"/>
      <c r="F106" s="187"/>
      <c r="G106" s="187"/>
      <c r="H106" s="187"/>
      <c r="I106" s="187"/>
      <c r="J106" s="187"/>
      <c r="K106" s="187"/>
      <c r="L106" s="187"/>
      <c r="M106" s="187"/>
      <c r="N106" s="187"/>
      <c r="O106" s="187"/>
      <c r="P106" s="187"/>
      <c r="Q106" s="187"/>
      <c r="R106" s="187"/>
      <c r="S106" s="187"/>
      <c r="T106" s="188"/>
      <c r="U106" s="600"/>
    </row>
    <row r="107" spans="1:21" ht="12.75" customHeight="1">
      <c r="A107" s="188"/>
      <c r="B107" s="744" t="s">
        <v>500</v>
      </c>
      <c r="C107" s="1021"/>
      <c r="D107" s="1021"/>
      <c r="E107" s="1021"/>
      <c r="F107" s="1021"/>
      <c r="G107" s="1021"/>
      <c r="H107" s="1021"/>
      <c r="I107" s="1021"/>
      <c r="J107" s="1021"/>
      <c r="K107" s="1021"/>
      <c r="L107" s="1021"/>
      <c r="M107" s="1021"/>
      <c r="N107" s="1021"/>
      <c r="O107" s="1021"/>
      <c r="Q107" s="310"/>
      <c r="R107" s="311"/>
      <c r="S107" s="312"/>
      <c r="T107" s="317"/>
    </row>
    <row r="108" spans="1:21" ht="12.75" customHeight="1">
      <c r="A108" s="188"/>
      <c r="C108" s="1021"/>
      <c r="D108" s="729" t="s">
        <v>501</v>
      </c>
      <c r="E108" s="845" t="s">
        <v>502</v>
      </c>
      <c r="F108" s="1021"/>
      <c r="G108" s="1021"/>
      <c r="H108" s="1021"/>
      <c r="I108" s="1021"/>
      <c r="J108" s="1021"/>
      <c r="K108" s="1021"/>
      <c r="L108" s="1021"/>
      <c r="M108" s="1021"/>
      <c r="N108" s="1021"/>
      <c r="O108" s="1021"/>
      <c r="Q108" s="310"/>
      <c r="R108" s="311"/>
      <c r="S108" s="312"/>
      <c r="T108" s="317"/>
    </row>
    <row r="109" spans="1:21" ht="12.75" customHeight="1">
      <c r="A109" s="188"/>
      <c r="B109" s="744"/>
      <c r="C109" s="1021"/>
      <c r="D109" s="1021"/>
      <c r="E109" s="1021"/>
      <c r="F109" s="1021"/>
      <c r="G109" s="1021"/>
      <c r="H109" s="1021"/>
      <c r="I109" s="1021"/>
      <c r="J109" s="1021"/>
      <c r="K109" s="1021"/>
      <c r="L109" s="1021"/>
      <c r="M109" s="1021"/>
      <c r="N109" s="1021"/>
      <c r="O109" s="1021"/>
      <c r="Q109" s="310"/>
      <c r="R109" s="311"/>
      <c r="S109" s="312"/>
      <c r="T109" s="317"/>
    </row>
    <row r="110" spans="1:21" ht="12.75" customHeight="1">
      <c r="A110" s="188"/>
      <c r="B110" s="749" t="s">
        <v>502</v>
      </c>
      <c r="C110" s="744"/>
      <c r="D110" s="1021"/>
      <c r="E110" s="1021"/>
      <c r="F110" s="1021"/>
      <c r="G110" s="1021"/>
      <c r="H110" s="1021"/>
      <c r="I110" s="1021"/>
      <c r="J110" s="1021"/>
      <c r="K110" s="1021"/>
      <c r="L110" s="1021"/>
      <c r="M110" s="1021"/>
      <c r="N110" s="1021"/>
      <c r="O110" s="1021"/>
      <c r="Q110" s="310"/>
      <c r="R110" s="311"/>
      <c r="S110" s="312"/>
      <c r="T110" s="317"/>
    </row>
    <row r="111" spans="1:21" ht="13.5" customHeight="1">
      <c r="A111" s="188"/>
      <c r="B111" s="729" t="s">
        <v>503</v>
      </c>
      <c r="C111" s="746" t="s">
        <v>365</v>
      </c>
      <c r="D111" s="745"/>
      <c r="E111" s="747" t="s">
        <v>504</v>
      </c>
      <c r="F111" s="1021"/>
      <c r="G111" s="1021"/>
      <c r="H111" s="1021"/>
      <c r="I111" s="1021"/>
      <c r="J111" s="1021"/>
      <c r="K111" s="1021"/>
      <c r="L111" s="1021"/>
      <c r="M111" s="1021"/>
      <c r="N111" s="1021"/>
      <c r="O111" s="1021"/>
      <c r="Q111" s="310"/>
      <c r="R111" s="311"/>
      <c r="S111" s="312"/>
      <c r="T111" s="317"/>
    </row>
    <row r="112" spans="1:21" ht="12.75" customHeight="1">
      <c r="A112" s="188"/>
      <c r="B112" s="744"/>
      <c r="C112" s="1021"/>
      <c r="D112" s="1021"/>
      <c r="E112" s="748" t="s">
        <v>505</v>
      </c>
      <c r="F112" s="1021"/>
      <c r="G112" s="1021"/>
      <c r="H112" s="1021"/>
      <c r="I112" s="1021"/>
      <c r="J112" s="1021"/>
      <c r="K112" s="1021"/>
      <c r="L112" s="1021"/>
      <c r="M112" s="1021"/>
      <c r="N112" s="1021"/>
      <c r="O112" s="1021"/>
      <c r="Q112" s="310"/>
      <c r="R112" s="311"/>
      <c r="S112" s="312"/>
      <c r="T112" s="317"/>
    </row>
    <row r="113" spans="1:22" ht="12.75" customHeight="1">
      <c r="A113" s="188"/>
      <c r="B113" s="1021"/>
      <c r="C113" s="1021"/>
      <c r="D113" s="1021"/>
      <c r="E113" s="744" t="s">
        <v>506</v>
      </c>
      <c r="F113" s="1021"/>
      <c r="G113" s="1021"/>
      <c r="H113" s="1021"/>
      <c r="I113" s="1021"/>
      <c r="J113" s="1021"/>
      <c r="K113" s="1021"/>
      <c r="L113" s="1021"/>
      <c r="M113" s="1021"/>
      <c r="N113" s="1021"/>
      <c r="O113" s="1021"/>
      <c r="Q113" s="310"/>
      <c r="R113" s="311"/>
      <c r="S113" s="312"/>
      <c r="T113" s="317"/>
    </row>
    <row r="114" spans="1:22" ht="12.75" customHeight="1">
      <c r="A114" s="188"/>
      <c r="B114" s="1021"/>
      <c r="C114" s="1021"/>
      <c r="D114" s="1021"/>
      <c r="E114" s="744"/>
      <c r="F114" s="1021"/>
      <c r="G114" s="1021"/>
      <c r="H114" s="1021"/>
      <c r="I114" s="1021"/>
      <c r="J114" s="1021"/>
      <c r="K114" s="1021"/>
      <c r="L114" s="1021"/>
      <c r="M114" s="1021"/>
      <c r="N114" s="1021"/>
      <c r="O114" s="1021"/>
      <c r="Q114" s="310"/>
      <c r="R114" s="311"/>
      <c r="S114" s="312"/>
      <c r="T114" s="317"/>
    </row>
    <row r="115" spans="1:22" ht="12.75" customHeight="1">
      <c r="A115" s="188"/>
      <c r="B115" s="749" t="s">
        <v>507</v>
      </c>
      <c r="C115" s="1021"/>
      <c r="D115" s="1021"/>
      <c r="F115" s="744" t="s">
        <v>508</v>
      </c>
      <c r="G115" s="1021"/>
      <c r="H115" s="1021"/>
      <c r="I115" s="1021"/>
      <c r="J115" s="1021"/>
      <c r="K115" s="1021"/>
      <c r="L115" s="1021"/>
      <c r="M115" s="1021"/>
      <c r="N115" s="1021"/>
      <c r="O115" s="1021"/>
      <c r="Q115" s="310"/>
      <c r="R115" s="311"/>
      <c r="S115" s="312"/>
      <c r="T115" s="317"/>
    </row>
    <row r="116" spans="1:22" ht="15" customHeight="1">
      <c r="A116" s="188"/>
      <c r="B116" s="729" t="s">
        <v>503</v>
      </c>
      <c r="C116" s="746" t="s">
        <v>365</v>
      </c>
      <c r="D116" s="745"/>
      <c r="E116" s="747" t="s">
        <v>509</v>
      </c>
      <c r="F116" s="1021"/>
      <c r="G116" s="1021"/>
      <c r="H116" s="1021"/>
      <c r="I116" s="1021"/>
      <c r="J116" s="1021"/>
      <c r="K116" s="1021"/>
      <c r="L116" s="1021"/>
      <c r="M116" s="1021"/>
      <c r="N116" s="1021"/>
      <c r="O116" s="1021"/>
      <c r="Q116" s="310" t="s">
        <v>510</v>
      </c>
      <c r="R116" s="311" t="s">
        <v>365</v>
      </c>
      <c r="S116" s="312" t="e">
        <f ca="1">IF(E124="",IF(VLOOKUP(E108,Y348:Z351,2,TRUE)*2&gt;=3,3,VLOOKUP(E108,Y348:Z351,2,TRUE)*2),E124)</f>
        <v>#DIV/0!</v>
      </c>
      <c r="T116" s="317"/>
      <c r="U116" s="754" t="s">
        <v>511</v>
      </c>
    </row>
    <row r="117" spans="1:22" ht="12.75" customHeight="1">
      <c r="A117" s="188"/>
      <c r="B117" s="744"/>
      <c r="C117" s="1021"/>
      <c r="D117" s="1021"/>
      <c r="E117" s="748" t="s">
        <v>512</v>
      </c>
      <c r="F117" s="1021"/>
      <c r="G117" s="744" t="s">
        <v>513</v>
      </c>
      <c r="H117" s="1021"/>
      <c r="I117" s="1021"/>
      <c r="J117" s="1021"/>
      <c r="K117" s="1021"/>
      <c r="L117" s="1021"/>
      <c r="M117" s="1021"/>
      <c r="N117" s="1021"/>
      <c r="O117" s="1021"/>
      <c r="P117" s="1828" t="e">
        <f ca="1">IF(AND(E124="",VLOOKUP(E108,Y348:Z351,2,TRUE)*2&gt;=3),"The Arc resistance empirical formula generated an arc resistance greater than 3 ohms primary. If setting engineer does not want to limit the arc resistance then enter the suitable value in Method 4.","")</f>
        <v>#DIV/0!</v>
      </c>
      <c r="Q117" s="1828"/>
      <c r="R117" s="1828"/>
      <c r="S117" s="1828"/>
      <c r="T117" s="1828"/>
      <c r="U117" s="1828"/>
      <c r="V117" s="1828"/>
    </row>
    <row r="118" spans="1:22" ht="12.75" customHeight="1">
      <c r="A118" s="188"/>
      <c r="B118" s="729" t="s">
        <v>514</v>
      </c>
      <c r="C118" s="746" t="s">
        <v>365</v>
      </c>
      <c r="D118" s="1021"/>
      <c r="E118" s="841"/>
      <c r="F118" s="750" t="s">
        <v>515</v>
      </c>
      <c r="G118" s="1021"/>
      <c r="H118" s="1021"/>
      <c r="I118" s="1021"/>
      <c r="J118" s="1021"/>
      <c r="K118" s="1021"/>
      <c r="L118" s="1021"/>
      <c r="M118" s="1021"/>
      <c r="N118" s="1021"/>
      <c r="O118" s="1021"/>
      <c r="P118" s="1828"/>
      <c r="Q118" s="1828"/>
      <c r="R118" s="1828"/>
      <c r="S118" s="1828"/>
      <c r="T118" s="1828"/>
      <c r="U118" s="1828"/>
      <c r="V118" s="1828"/>
    </row>
    <row r="119" spans="1:22" ht="12.75" customHeight="1">
      <c r="A119" s="188"/>
      <c r="B119" s="745"/>
      <c r="C119" s="746"/>
      <c r="D119" s="1021"/>
      <c r="E119" s="1021"/>
      <c r="F119" s="1021"/>
      <c r="G119" s="1021"/>
      <c r="H119" s="1021"/>
      <c r="I119" s="1021"/>
      <c r="J119" s="1021"/>
      <c r="K119" s="1021"/>
      <c r="L119" s="1021"/>
      <c r="M119" s="1021"/>
      <c r="N119" s="1021"/>
      <c r="O119" s="1021"/>
      <c r="P119" s="1828"/>
      <c r="Q119" s="1828"/>
      <c r="R119" s="1828"/>
      <c r="S119" s="1828"/>
      <c r="T119" s="1828"/>
      <c r="U119" s="1828"/>
      <c r="V119" s="1828"/>
    </row>
    <row r="120" spans="1:22" ht="12.75" customHeight="1">
      <c r="A120" s="188"/>
      <c r="B120" s="749" t="s">
        <v>516</v>
      </c>
      <c r="C120" s="1021"/>
      <c r="D120" s="1021"/>
      <c r="E120" s="744"/>
      <c r="F120" s="744" t="s">
        <v>517</v>
      </c>
      <c r="G120" s="1021"/>
      <c r="H120" s="1021"/>
      <c r="I120" s="1021"/>
      <c r="J120" s="1021"/>
      <c r="K120" s="1021"/>
      <c r="L120" s="1021"/>
      <c r="M120" s="1021"/>
      <c r="N120" s="1021"/>
      <c r="O120" s="1021"/>
      <c r="P120" s="1828"/>
      <c r="Q120" s="1828"/>
      <c r="R120" s="1828"/>
      <c r="S120" s="1828"/>
      <c r="T120" s="1828"/>
      <c r="U120" s="1828"/>
      <c r="V120" s="1828"/>
    </row>
    <row r="121" spans="1:22" ht="16.5" customHeight="1">
      <c r="A121" s="188"/>
      <c r="B121" s="729" t="s">
        <v>503</v>
      </c>
      <c r="C121" s="746" t="s">
        <v>365</v>
      </c>
      <c r="D121" s="745"/>
      <c r="E121" s="747" t="s">
        <v>518</v>
      </c>
      <c r="F121" s="1021"/>
      <c r="G121" s="1021"/>
      <c r="H121" s="1021"/>
      <c r="I121" s="1021"/>
      <c r="J121" s="1021"/>
      <c r="K121" s="1021"/>
      <c r="L121" s="1021"/>
      <c r="M121" s="1021"/>
      <c r="N121" s="1021"/>
      <c r="O121" s="1021"/>
      <c r="Q121" s="310"/>
      <c r="R121" s="311"/>
      <c r="S121" s="312"/>
      <c r="T121" s="317"/>
    </row>
    <row r="122" spans="1:22" ht="12.75" customHeight="1">
      <c r="A122" s="188"/>
      <c r="B122" s="744"/>
      <c r="C122" s="1021"/>
      <c r="D122" s="1021"/>
      <c r="E122" s="748" t="s">
        <v>519</v>
      </c>
      <c r="F122" s="1021"/>
      <c r="G122" s="744" t="s">
        <v>513</v>
      </c>
      <c r="H122" s="1021"/>
      <c r="I122" s="1021"/>
      <c r="J122" s="1021"/>
      <c r="K122" s="1021"/>
      <c r="L122" s="1021"/>
      <c r="M122" s="1021"/>
      <c r="N122" s="1021"/>
      <c r="O122" s="1021"/>
      <c r="Q122" s="310"/>
      <c r="R122" s="311"/>
      <c r="S122" s="312"/>
      <c r="T122" s="317"/>
    </row>
    <row r="123" spans="1:22" ht="12.75" customHeight="1">
      <c r="A123" s="188"/>
      <c r="B123" s="749" t="s">
        <v>520</v>
      </c>
      <c r="C123" s="746"/>
      <c r="D123" s="1021"/>
      <c r="E123" s="1021"/>
      <c r="F123" s="1021"/>
      <c r="G123" s="1021"/>
      <c r="H123" s="1021"/>
      <c r="I123" s="1021"/>
      <c r="J123" s="1021"/>
      <c r="K123" s="1021"/>
      <c r="L123" s="1021"/>
      <c r="M123" s="1021"/>
      <c r="N123" s="1021"/>
      <c r="O123" s="1021"/>
      <c r="Q123" s="310"/>
      <c r="R123" s="311"/>
      <c r="S123" s="312"/>
      <c r="T123" s="317"/>
    </row>
    <row r="124" spans="1:22" ht="16.5" customHeight="1">
      <c r="A124" s="188"/>
      <c r="B124" s="729" t="s">
        <v>521</v>
      </c>
      <c r="C124" s="746" t="s">
        <v>365</v>
      </c>
      <c r="D124" s="1021"/>
      <c r="E124" s="841"/>
      <c r="F124" s="750" t="s">
        <v>522</v>
      </c>
      <c r="G124" s="1021"/>
      <c r="H124" s="1021"/>
      <c r="I124" s="1021"/>
      <c r="J124" s="1021"/>
      <c r="K124" s="1021"/>
      <c r="L124" s="1021"/>
      <c r="M124" s="1021"/>
      <c r="N124" s="1021"/>
      <c r="O124" s="1021"/>
      <c r="Q124" s="310"/>
      <c r="R124" s="311"/>
      <c r="S124" s="312"/>
      <c r="T124" s="317"/>
    </row>
    <row r="125" spans="1:22" ht="12.75" customHeight="1">
      <c r="A125" s="188"/>
      <c r="B125" s="1021"/>
      <c r="C125" s="1021"/>
      <c r="D125" s="1021"/>
      <c r="E125" s="1021"/>
      <c r="F125" s="1021"/>
      <c r="G125" s="1021"/>
      <c r="H125" s="1021"/>
      <c r="I125" s="1021"/>
      <c r="J125" s="1021"/>
      <c r="K125" s="1021"/>
      <c r="L125" s="1021"/>
      <c r="M125" s="1021"/>
      <c r="N125" s="1021"/>
      <c r="O125" s="1021"/>
      <c r="Q125" s="310"/>
      <c r="R125" s="311"/>
      <c r="S125" s="312"/>
      <c r="T125" s="317"/>
    </row>
    <row r="126" spans="1:22" ht="17.399999999999999">
      <c r="A126" s="187"/>
      <c r="B126" s="212" t="s">
        <v>523</v>
      </c>
      <c r="C126" s="212"/>
      <c r="D126" s="187"/>
      <c r="E126" s="187"/>
      <c r="F126" s="187"/>
      <c r="G126" s="187"/>
      <c r="H126" s="187"/>
      <c r="I126" s="187"/>
      <c r="J126" s="187"/>
      <c r="K126" s="187"/>
      <c r="L126" s="187"/>
      <c r="M126" s="187"/>
      <c r="N126" s="187"/>
      <c r="O126" s="187"/>
      <c r="P126" s="187"/>
      <c r="Q126" s="187"/>
      <c r="R126" s="187"/>
      <c r="S126" s="187"/>
      <c r="T126" s="188"/>
      <c r="U126" s="600"/>
    </row>
    <row r="127" spans="1:22" s="213" customFormat="1" ht="12.75" customHeight="1">
      <c r="A127" s="680"/>
      <c r="B127" s="197" t="s">
        <v>524</v>
      </c>
      <c r="C127" s="680"/>
      <c r="D127" s="680"/>
      <c r="E127" s="680"/>
      <c r="F127" s="680"/>
      <c r="G127" s="680"/>
      <c r="H127" s="680"/>
      <c r="I127" s="680"/>
      <c r="J127" s="680"/>
      <c r="K127" s="680"/>
      <c r="L127" s="723"/>
      <c r="M127" s="723"/>
      <c r="N127" s="188"/>
      <c r="O127" s="188"/>
      <c r="P127" s="188"/>
      <c r="Q127" s="188"/>
      <c r="R127" s="680"/>
      <c r="S127" s="680"/>
      <c r="T127" s="680"/>
      <c r="U127" s="600"/>
      <c r="V127" s="617"/>
    </row>
    <row r="128" spans="1:22" s="213" customFormat="1" ht="12.75" customHeight="1">
      <c r="A128" s="680"/>
      <c r="B128" s="365" t="s">
        <v>525</v>
      </c>
      <c r="C128" s="188"/>
      <c r="D128" s="188"/>
      <c r="E128" s="359">
        <f ca="1">E6</f>
        <v>0</v>
      </c>
      <c r="F128" s="188" t="s">
        <v>69</v>
      </c>
      <c r="G128" s="723" t="s">
        <v>526</v>
      </c>
      <c r="H128" s="723"/>
      <c r="I128" s="723"/>
      <c r="J128" s="723"/>
      <c r="K128" s="723"/>
      <c r="L128" s="188"/>
      <c r="M128" s="188"/>
      <c r="N128" s="188"/>
      <c r="O128" s="188"/>
      <c r="P128" s="188"/>
      <c r="Q128" s="188"/>
      <c r="R128" s="680"/>
      <c r="S128" s="680"/>
      <c r="T128" s="680"/>
      <c r="U128" s="600"/>
      <c r="V128" s="617"/>
    </row>
    <row r="129" spans="1:22" s="213" customFormat="1" ht="12.75" customHeight="1">
      <c r="A129" s="680"/>
      <c r="B129" s="365" t="s">
        <v>527</v>
      </c>
      <c r="C129" s="188"/>
      <c r="D129" s="188"/>
      <c r="E129" s="360">
        <v>1.2</v>
      </c>
      <c r="F129" s="188"/>
      <c r="G129" s="723" t="s">
        <v>528</v>
      </c>
      <c r="H129" s="723"/>
      <c r="I129" s="188"/>
      <c r="J129" s="680"/>
      <c r="K129" s="680"/>
      <c r="L129" s="680"/>
      <c r="M129" s="680"/>
      <c r="N129" s="188"/>
      <c r="O129" s="188"/>
      <c r="P129" s="188"/>
      <c r="Q129" s="188"/>
      <c r="R129" s="680"/>
      <c r="S129" s="680"/>
      <c r="T129" s="680"/>
      <c r="U129" s="600"/>
      <c r="V129" s="617"/>
    </row>
    <row r="130" spans="1:22" s="213" customFormat="1" ht="12.75" customHeight="1">
      <c r="A130" s="680"/>
      <c r="B130" s="365" t="s">
        <v>529</v>
      </c>
      <c r="C130" s="188"/>
      <c r="D130" s="188"/>
      <c r="E130" s="945">
        <f>_Breaker_Rating</f>
        <v>0</v>
      </c>
      <c r="F130" s="188" t="s">
        <v>69</v>
      </c>
      <c r="G130" s="723" t="s">
        <v>526</v>
      </c>
      <c r="H130" s="723"/>
      <c r="I130" s="723"/>
      <c r="J130" s="723"/>
      <c r="K130" s="723"/>
      <c r="L130" s="188"/>
      <c r="M130" s="188"/>
      <c r="N130" s="188"/>
      <c r="O130" s="188"/>
      <c r="P130" s="188"/>
      <c r="Q130" s="188"/>
      <c r="R130" s="680"/>
      <c r="S130" s="680"/>
      <c r="T130" s="680"/>
      <c r="U130" s="600"/>
      <c r="V130" s="617"/>
    </row>
    <row r="131" spans="1:22" s="213" customFormat="1" ht="12.75" customHeight="1">
      <c r="A131" s="680"/>
      <c r="B131" s="365" t="s">
        <v>530</v>
      </c>
      <c r="C131" s="188"/>
      <c r="D131" s="188"/>
      <c r="E131" s="360">
        <v>1.1499999999999999</v>
      </c>
      <c r="F131" s="188"/>
      <c r="G131" s="723" t="s">
        <v>531</v>
      </c>
      <c r="H131" s="723"/>
      <c r="I131" s="188"/>
      <c r="J131" s="188"/>
      <c r="K131" s="188"/>
      <c r="L131" s="188"/>
      <c r="M131" s="188"/>
      <c r="N131" s="188"/>
      <c r="O131" s="188"/>
      <c r="P131" s="188"/>
      <c r="Q131" s="188"/>
      <c r="R131" s="680"/>
      <c r="S131" s="680"/>
      <c r="T131" s="680"/>
      <c r="U131" s="600"/>
      <c r="V131" s="617"/>
    </row>
    <row r="132" spans="1:22" s="213" customFormat="1" ht="12.75" customHeight="1">
      <c r="A132" s="680"/>
      <c r="B132" s="365" t="s">
        <v>532</v>
      </c>
      <c r="C132" s="188"/>
      <c r="D132" s="188"/>
      <c r="E132" s="34">
        <v>150</v>
      </c>
      <c r="F132" s="680" t="s">
        <v>69</v>
      </c>
      <c r="G132" s="723" t="s">
        <v>533</v>
      </c>
      <c r="H132" s="723"/>
      <c r="I132" s="188"/>
      <c r="J132" s="188"/>
      <c r="K132" s="188"/>
      <c r="L132" s="188"/>
      <c r="M132" s="188"/>
      <c r="N132" s="188"/>
      <c r="O132" s="188"/>
      <c r="P132" s="188"/>
      <c r="Q132" s="188"/>
      <c r="R132" s="680"/>
      <c r="S132" s="680"/>
      <c r="T132" s="680"/>
      <c r="U132" s="600"/>
      <c r="V132" s="617"/>
    </row>
    <row r="133" spans="1:22" s="213" customFormat="1" ht="12.75" customHeight="1">
      <c r="A133" s="680"/>
      <c r="B133" s="680"/>
      <c r="C133" s="680"/>
      <c r="D133" s="680"/>
      <c r="E133" s="680"/>
      <c r="F133" s="680"/>
      <c r="G133" s="680"/>
      <c r="H133" s="680"/>
      <c r="I133" s="680"/>
      <c r="J133" s="214"/>
      <c r="K133" s="188"/>
      <c r="L133" s="188"/>
      <c r="M133" s="188"/>
      <c r="N133" s="680"/>
      <c r="O133" s="680"/>
      <c r="P133" s="680"/>
      <c r="Q133" s="680"/>
      <c r="R133" s="680"/>
      <c r="S133" s="680"/>
      <c r="T133" s="680"/>
      <c r="U133" s="600"/>
      <c r="V133" s="617"/>
    </row>
    <row r="134" spans="1:22" s="213" customFormat="1" ht="12.75" customHeight="1">
      <c r="A134" s="680"/>
      <c r="B134" s="202" t="s">
        <v>534</v>
      </c>
      <c r="C134" s="199" t="s">
        <v>365</v>
      </c>
      <c r="D134" s="351" t="s">
        <v>535</v>
      </c>
      <c r="E134" s="215">
        <f>SQRT(3)</f>
        <v>1.7320508075688772</v>
      </c>
      <c r="F134" s="350" t="s">
        <v>536</v>
      </c>
      <c r="G134" s="216">
        <f ca="1">MAX(E128:E130)</f>
        <v>1.2</v>
      </c>
      <c r="H134" s="352" t="s">
        <v>536</v>
      </c>
      <c r="I134" s="370">
        <f>E131</f>
        <v>1.1499999999999999</v>
      </c>
      <c r="J134" s="353" t="s">
        <v>537</v>
      </c>
      <c r="K134" s="217">
        <f ca="1">_CTR_per_1</f>
        <v>0</v>
      </c>
      <c r="L134" s="351" t="s">
        <v>538</v>
      </c>
      <c r="M134" s="217">
        <f>SQRT(3)</f>
        <v>1.7320508075688772</v>
      </c>
      <c r="N134" s="350" t="s">
        <v>536</v>
      </c>
      <c r="O134" s="366" t="e">
        <f ca="1">G134*I134/K134</f>
        <v>#DIV/0!</v>
      </c>
      <c r="P134" s="351" t="s">
        <v>539</v>
      </c>
      <c r="Q134" s="366" t="e">
        <f ca="1">SQRT(3)*O134</f>
        <v>#DIV/0!</v>
      </c>
      <c r="R134" s="680"/>
      <c r="S134" s="680"/>
      <c r="T134" s="680"/>
      <c r="U134" s="600" t="s">
        <v>540</v>
      </c>
      <c r="V134" s="617"/>
    </row>
    <row r="135" spans="1:22" s="213" customFormat="1" ht="12.75" customHeight="1">
      <c r="A135" s="680"/>
      <c r="B135" s="723" t="s">
        <v>541</v>
      </c>
      <c r="C135" s="723"/>
      <c r="D135" s="578"/>
      <c r="E135" s="363" t="s">
        <v>542</v>
      </c>
      <c r="F135" s="363"/>
      <c r="G135" s="1190" t="s">
        <v>543</v>
      </c>
      <c r="H135" s="1190"/>
      <c r="I135" s="364" t="s">
        <v>544</v>
      </c>
      <c r="J135" s="577"/>
      <c r="K135" s="577" t="s">
        <v>545</v>
      </c>
      <c r="L135" s="578"/>
      <c r="M135" s="577" t="s">
        <v>546</v>
      </c>
      <c r="N135" s="363"/>
      <c r="O135" s="363" t="s">
        <v>547</v>
      </c>
      <c r="P135" s="578"/>
      <c r="Q135" s="363" t="s">
        <v>548</v>
      </c>
      <c r="R135" s="680"/>
      <c r="S135" s="680"/>
      <c r="T135" s="680"/>
      <c r="U135" s="600"/>
      <c r="V135" s="617"/>
    </row>
    <row r="136" spans="1:22" s="213" customFormat="1" ht="12.75" customHeight="1">
      <c r="A136" s="680"/>
      <c r="B136" s="723"/>
      <c r="C136" s="723"/>
      <c r="D136" s="578"/>
      <c r="E136" s="363"/>
      <c r="F136" s="363"/>
      <c r="G136" s="1190"/>
      <c r="H136" s="1190"/>
      <c r="I136" s="363"/>
      <c r="J136" s="363"/>
      <c r="K136" s="577"/>
      <c r="L136" s="578"/>
      <c r="M136" s="577"/>
      <c r="N136" s="363"/>
      <c r="O136" s="363"/>
      <c r="P136" s="578"/>
      <c r="Q136" s="363"/>
      <c r="R136" s="680"/>
      <c r="S136" s="680"/>
      <c r="T136" s="680"/>
      <c r="U136" s="600"/>
      <c r="V136" s="617"/>
    </row>
    <row r="137" spans="1:22" s="213" customFormat="1" ht="12.75" customHeight="1">
      <c r="A137" s="680"/>
      <c r="B137" s="202" t="s">
        <v>549</v>
      </c>
      <c r="C137" s="199" t="s">
        <v>365</v>
      </c>
      <c r="D137" s="351" t="s">
        <v>535</v>
      </c>
      <c r="E137" s="215">
        <f>SQRT(3)</f>
        <v>1.7320508075688772</v>
      </c>
      <c r="F137" s="350" t="s">
        <v>536</v>
      </c>
      <c r="G137" s="216">
        <f ca="1">E128</f>
        <v>0</v>
      </c>
      <c r="H137" s="352" t="s">
        <v>536</v>
      </c>
      <c r="I137" s="370">
        <f>E129</f>
        <v>1.2</v>
      </c>
      <c r="J137" s="353" t="s">
        <v>537</v>
      </c>
      <c r="K137" s="217">
        <f ca="1">_CTR_per_1</f>
        <v>0</v>
      </c>
      <c r="L137" s="351" t="s">
        <v>538</v>
      </c>
      <c r="M137" s="217">
        <f>SQRT(3)</f>
        <v>1.7320508075688772</v>
      </c>
      <c r="N137" s="350" t="s">
        <v>536</v>
      </c>
      <c r="O137" s="366" t="e">
        <f ca="1">G137*I137/K137</f>
        <v>#DIV/0!</v>
      </c>
      <c r="P137" s="351" t="s">
        <v>539</v>
      </c>
      <c r="Q137" s="366" t="e">
        <f ca="1">SQRT(3)*O137</f>
        <v>#DIV/0!</v>
      </c>
      <c r="R137" s="680"/>
      <c r="S137" s="680"/>
      <c r="T137" s="680"/>
      <c r="U137" s="600" t="s">
        <v>550</v>
      </c>
      <c r="V137" s="617"/>
    </row>
    <row r="138" spans="1:22" s="213" customFormat="1" ht="12.75" customHeight="1">
      <c r="A138" s="680"/>
      <c r="B138" s="723" t="s">
        <v>551</v>
      </c>
      <c r="C138" s="723"/>
      <c r="D138" s="578"/>
      <c r="E138" s="363" t="s">
        <v>542</v>
      </c>
      <c r="F138" s="363"/>
      <c r="G138" s="1190" t="s">
        <v>549</v>
      </c>
      <c r="H138" s="1190"/>
      <c r="I138" s="364" t="s">
        <v>544</v>
      </c>
      <c r="J138" s="577"/>
      <c r="K138" s="577" t="s">
        <v>545</v>
      </c>
      <c r="L138" s="578"/>
      <c r="M138" s="577" t="s">
        <v>546</v>
      </c>
      <c r="N138" s="363"/>
      <c r="O138" s="363" t="s">
        <v>552</v>
      </c>
      <c r="P138" s="578"/>
      <c r="Q138" s="363" t="s">
        <v>553</v>
      </c>
      <c r="R138" s="680"/>
      <c r="S138" s="680"/>
      <c r="T138" s="680"/>
      <c r="U138" s="600"/>
      <c r="V138" s="617"/>
    </row>
    <row r="139" spans="1:22" s="213" customFormat="1" ht="12.75" customHeight="1">
      <c r="A139" s="680"/>
      <c r="B139" s="723"/>
      <c r="C139" s="723"/>
      <c r="D139" s="578"/>
      <c r="E139" s="363"/>
      <c r="F139" s="363"/>
      <c r="G139" s="1190"/>
      <c r="H139" s="1190"/>
      <c r="I139" s="363"/>
      <c r="J139" s="363"/>
      <c r="K139" s="577"/>
      <c r="L139" s="578"/>
      <c r="M139" s="577"/>
      <c r="N139" s="363"/>
      <c r="O139" s="363"/>
      <c r="P139" s="578"/>
      <c r="Q139" s="363"/>
      <c r="R139" s="680"/>
      <c r="S139" s="680"/>
      <c r="T139" s="680"/>
      <c r="U139" s="600"/>
      <c r="V139" s="617"/>
    </row>
    <row r="140" spans="1:22" s="213" customFormat="1" ht="12.75" customHeight="1">
      <c r="A140" s="680"/>
      <c r="B140" s="723" t="s">
        <v>554</v>
      </c>
      <c r="C140" s="680"/>
      <c r="D140" s="680"/>
      <c r="E140" s="680"/>
      <c r="F140" s="680"/>
      <c r="G140" s="723" t="s">
        <v>555</v>
      </c>
      <c r="H140" s="680"/>
      <c r="I140" s="680"/>
      <c r="J140" s="680"/>
      <c r="K140" s="680"/>
      <c r="L140" s="680"/>
      <c r="M140" s="694"/>
      <c r="N140" s="680"/>
      <c r="O140" s="680"/>
      <c r="P140" s="680"/>
      <c r="Q140" s="680"/>
      <c r="R140" s="680"/>
      <c r="S140" s="680"/>
      <c r="T140" s="680"/>
      <c r="U140" s="600"/>
      <c r="V140" s="617"/>
    </row>
    <row r="141" spans="1:22" s="213" customFormat="1" ht="12.75" customHeight="1">
      <c r="A141" s="680"/>
      <c r="B141" s="723" t="s">
        <v>556</v>
      </c>
      <c r="C141" s="680"/>
      <c r="D141" s="680"/>
      <c r="E141" s="680"/>
      <c r="F141" s="680"/>
      <c r="G141" s="723" t="s">
        <v>557</v>
      </c>
      <c r="H141" s="680"/>
      <c r="I141" s="680"/>
      <c r="J141" s="680"/>
      <c r="K141" s="680"/>
      <c r="L141" s="680"/>
      <c r="M141" s="694"/>
      <c r="N141" s="680"/>
      <c r="O141" s="680"/>
      <c r="P141" s="680"/>
      <c r="Q141" s="680"/>
      <c r="R141" s="680"/>
      <c r="S141" s="680"/>
      <c r="T141" s="680"/>
      <c r="U141" s="600"/>
      <c r="V141" s="617"/>
    </row>
    <row r="142" spans="1:22" s="213" customFormat="1" ht="12" customHeight="1">
      <c r="A142" s="680"/>
      <c r="B142" s="723"/>
      <c r="C142" s="680"/>
      <c r="D142" s="680"/>
      <c r="E142" s="680"/>
      <c r="F142" s="680"/>
      <c r="G142" s="723"/>
      <c r="H142" s="680"/>
      <c r="I142" s="680"/>
      <c r="J142" s="680"/>
      <c r="K142" s="723"/>
      <c r="L142" s="680"/>
      <c r="M142" s="680"/>
      <c r="N142" s="680"/>
      <c r="O142" s="680"/>
      <c r="P142" s="680"/>
      <c r="Q142" s="680"/>
      <c r="R142" s="680"/>
      <c r="S142" s="680"/>
      <c r="T142" s="680"/>
      <c r="U142" s="600"/>
      <c r="V142" s="617"/>
    </row>
    <row r="143" spans="1:22" s="213" customFormat="1" ht="14.25" hidden="1" customHeight="1">
      <c r="A143" s="1191"/>
      <c r="B143" s="1192"/>
      <c r="C143" s="1191"/>
      <c r="D143" s="1191"/>
      <c r="E143" s="1191"/>
      <c r="F143" s="1191"/>
      <c r="G143" s="1192"/>
      <c r="H143" s="1191"/>
      <c r="I143" s="1191"/>
      <c r="J143" s="1191"/>
      <c r="K143" s="1192"/>
      <c r="L143" s="1191"/>
      <c r="M143" s="1191"/>
      <c r="N143" s="1191"/>
      <c r="O143" s="1191"/>
      <c r="P143" s="1191"/>
      <c r="Q143" s="1191"/>
      <c r="R143" s="187"/>
      <c r="S143" s="187"/>
      <c r="T143" s="680"/>
      <c r="U143" s="600"/>
      <c r="V143" s="617"/>
    </row>
    <row r="144" spans="1:22" s="213" customFormat="1" ht="18.75" customHeight="1">
      <c r="A144" s="188"/>
      <c r="B144" s="197" t="s">
        <v>558</v>
      </c>
      <c r="C144" s="197"/>
      <c r="D144" s="188"/>
      <c r="E144" s="188"/>
      <c r="F144" s="188"/>
      <c r="G144" s="188"/>
      <c r="H144" s="188"/>
      <c r="I144" s="188"/>
      <c r="J144" s="188"/>
      <c r="K144" s="188"/>
      <c r="L144" s="188"/>
      <c r="M144" s="188"/>
      <c r="N144" s="188"/>
      <c r="O144" s="188"/>
      <c r="P144" s="188"/>
      <c r="Q144" s="188"/>
      <c r="R144" s="218"/>
      <c r="S144" s="218"/>
      <c r="T144" s="680"/>
      <c r="U144" s="600"/>
      <c r="V144" s="617"/>
    </row>
    <row r="145" spans="1:22" s="213" customFormat="1" ht="12" customHeight="1">
      <c r="A145" s="188"/>
      <c r="B145" s="197"/>
      <c r="C145" s="197"/>
      <c r="D145" s="188"/>
      <c r="E145" s="188"/>
      <c r="F145" s="188"/>
      <c r="G145" s="188"/>
      <c r="H145" s="188"/>
      <c r="I145" s="188"/>
      <c r="J145" s="188"/>
      <c r="K145" s="188"/>
      <c r="L145" s="188"/>
      <c r="M145" s="188"/>
      <c r="N145" s="188"/>
      <c r="O145" s="188"/>
      <c r="P145" s="188"/>
      <c r="Q145" s="188"/>
      <c r="R145" s="218"/>
      <c r="S145" s="218"/>
      <c r="T145" s="680"/>
      <c r="U145" s="600"/>
      <c r="V145" s="617"/>
    </row>
    <row r="146" spans="1:22">
      <c r="A146" s="188"/>
      <c r="B146" s="202" t="s">
        <v>559</v>
      </c>
      <c r="C146" s="199" t="s">
        <v>365</v>
      </c>
      <c r="D146" s="188"/>
      <c r="E146" s="231">
        <f>G38</f>
        <v>0</v>
      </c>
      <c r="F146" s="188" t="s">
        <v>69</v>
      </c>
      <c r="G146" s="188" t="s">
        <v>526</v>
      </c>
      <c r="H146" s="188"/>
      <c r="I146" s="203"/>
      <c r="J146" s="188"/>
      <c r="K146" s="188"/>
      <c r="L146" s="188"/>
      <c r="M146" s="188"/>
      <c r="N146" s="188"/>
      <c r="O146" s="188"/>
      <c r="P146" s="188"/>
      <c r="Q146" s="188"/>
      <c r="R146" s="218"/>
      <c r="S146" s="218"/>
      <c r="T146" s="188"/>
      <c r="U146" s="600"/>
    </row>
    <row r="147" spans="1:22">
      <c r="A147" s="188"/>
      <c r="B147" s="202" t="s">
        <v>560</v>
      </c>
      <c r="C147" s="199"/>
      <c r="D147" s="188"/>
      <c r="E147" s="231">
        <f>I38</f>
        <v>0</v>
      </c>
      <c r="F147" s="188" t="s">
        <v>69</v>
      </c>
      <c r="G147" s="188" t="s">
        <v>526</v>
      </c>
      <c r="H147" s="188"/>
      <c r="I147" s="203"/>
      <c r="J147" s="188"/>
      <c r="K147" s="188"/>
      <c r="L147" s="188"/>
      <c r="M147" s="188"/>
      <c r="N147" s="188"/>
      <c r="O147" s="188"/>
      <c r="P147" s="188"/>
      <c r="Q147" s="188"/>
      <c r="R147" s="218"/>
      <c r="S147" s="218"/>
      <c r="T147" s="188"/>
      <c r="U147" s="600"/>
    </row>
    <row r="148" spans="1:22">
      <c r="A148" s="188"/>
      <c r="B148" s="202" t="s">
        <v>561</v>
      </c>
      <c r="C148" s="199" t="s">
        <v>365</v>
      </c>
      <c r="D148" s="188"/>
      <c r="E148" s="1349">
        <v>0.8</v>
      </c>
      <c r="F148" s="188"/>
      <c r="H148" s="188"/>
      <c r="I148" s="188"/>
      <c r="J148" s="188"/>
      <c r="K148" s="188"/>
      <c r="L148" s="188"/>
      <c r="M148" s="188"/>
      <c r="N148" s="188"/>
      <c r="O148" s="188"/>
      <c r="P148" s="188"/>
      <c r="Q148" s="188"/>
      <c r="R148" s="218"/>
      <c r="S148" s="218"/>
      <c r="T148" s="188"/>
      <c r="U148" s="600"/>
    </row>
    <row r="149" spans="1:22">
      <c r="A149" s="188"/>
      <c r="B149" s="188"/>
      <c r="C149" s="188"/>
      <c r="D149" s="188"/>
      <c r="E149" s="214"/>
      <c r="F149" s="188"/>
      <c r="G149" s="188"/>
      <c r="H149" s="188"/>
      <c r="I149" s="188"/>
      <c r="J149" s="188"/>
      <c r="K149" s="188"/>
      <c r="L149" s="188"/>
      <c r="M149" s="188"/>
      <c r="N149" s="188"/>
      <c r="O149" s="188"/>
      <c r="P149" s="188"/>
      <c r="Q149" s="188"/>
      <c r="R149" s="218"/>
      <c r="S149" s="218"/>
      <c r="T149" s="188"/>
      <c r="U149" s="600"/>
    </row>
    <row r="150" spans="1:22">
      <c r="A150" s="188"/>
      <c r="B150" s="202" t="s">
        <v>562</v>
      </c>
      <c r="C150" s="199" t="s">
        <v>365</v>
      </c>
      <c r="D150" s="351" t="s">
        <v>535</v>
      </c>
      <c r="E150" s="215">
        <f>SQRT(3)</f>
        <v>1.7320508075688772</v>
      </c>
      <c r="F150" s="350" t="s">
        <v>536</v>
      </c>
      <c r="G150" s="216">
        <f>E146</f>
        <v>0</v>
      </c>
      <c r="H150" s="352" t="s">
        <v>536</v>
      </c>
      <c r="I150" s="370">
        <f>E148</f>
        <v>0.8</v>
      </c>
      <c r="J150" s="353" t="s">
        <v>537</v>
      </c>
      <c r="K150" s="217">
        <f ca="1">_CTR_per_1</f>
        <v>0</v>
      </c>
      <c r="L150" s="351" t="s">
        <v>538</v>
      </c>
      <c r="M150" s="217">
        <f>SQRT(3)</f>
        <v>1.7320508075688772</v>
      </c>
      <c r="N150" s="350" t="s">
        <v>536</v>
      </c>
      <c r="O150" s="355" t="e">
        <f ca="1">(E146*I150)/K150</f>
        <v>#DIV/0!</v>
      </c>
      <c r="P150" s="351" t="s">
        <v>539</v>
      </c>
      <c r="Q150" s="355" t="e">
        <f ca="1">O150*M150</f>
        <v>#DIV/0!</v>
      </c>
      <c r="R150" s="218"/>
      <c r="S150" s="218"/>
      <c r="T150" s="188"/>
      <c r="U150" s="600" t="s">
        <v>563</v>
      </c>
    </row>
    <row r="151" spans="1:22">
      <c r="A151" s="188"/>
      <c r="B151" s="188"/>
      <c r="C151" s="723"/>
      <c r="D151" s="578"/>
      <c r="E151" s="363" t="s">
        <v>542</v>
      </c>
      <c r="F151" s="363"/>
      <c r="G151" s="1190" t="s">
        <v>564</v>
      </c>
      <c r="H151" s="1190"/>
      <c r="I151" s="364" t="s">
        <v>544</v>
      </c>
      <c r="J151" s="577"/>
      <c r="K151" s="577" t="s">
        <v>545</v>
      </c>
      <c r="L151" s="578"/>
      <c r="M151" s="577" t="s">
        <v>546</v>
      </c>
      <c r="N151" s="363"/>
      <c r="O151" s="577" t="s">
        <v>565</v>
      </c>
      <c r="P151" s="578"/>
      <c r="Q151" s="363" t="s">
        <v>553</v>
      </c>
      <c r="R151" s="218"/>
      <c r="S151" s="218"/>
      <c r="T151" s="188"/>
      <c r="U151" s="600"/>
    </row>
    <row r="152" spans="1:22">
      <c r="A152" s="188"/>
      <c r="B152" s="188"/>
      <c r="C152" s="723"/>
      <c r="D152" s="578"/>
      <c r="E152" s="723"/>
      <c r="F152" s="723"/>
      <c r="G152" s="1176"/>
      <c r="H152" s="1176"/>
      <c r="I152" s="723"/>
      <c r="J152" s="723"/>
      <c r="K152" s="578"/>
      <c r="L152" s="578"/>
      <c r="M152" s="578"/>
      <c r="N152" s="723"/>
      <c r="O152" s="578"/>
      <c r="P152" s="578"/>
      <c r="Q152" s="723"/>
      <c r="R152" s="218"/>
      <c r="S152" s="218"/>
      <c r="T152" s="188"/>
      <c r="U152" s="600"/>
    </row>
    <row r="153" spans="1:22">
      <c r="A153" s="188"/>
      <c r="B153" s="202" t="s">
        <v>566</v>
      </c>
      <c r="C153" s="199" t="s">
        <v>365</v>
      </c>
      <c r="D153" s="351" t="s">
        <v>535</v>
      </c>
      <c r="E153" s="215">
        <v>2</v>
      </c>
      <c r="F153" s="350" t="s">
        <v>536</v>
      </c>
      <c r="G153" s="216">
        <f>E147</f>
        <v>0</v>
      </c>
      <c r="H153" s="352" t="s">
        <v>536</v>
      </c>
      <c r="I153" s="370">
        <f>E148</f>
        <v>0.8</v>
      </c>
      <c r="J153" s="353" t="s">
        <v>537</v>
      </c>
      <c r="K153" s="217">
        <f ca="1">_CTR_per_1</f>
        <v>0</v>
      </c>
      <c r="L153" s="351" t="s">
        <v>538</v>
      </c>
      <c r="M153" s="217">
        <v>2</v>
      </c>
      <c r="N153" s="350" t="s">
        <v>536</v>
      </c>
      <c r="O153" s="355" t="e">
        <f ca="1">(G153*I153)/K153</f>
        <v>#DIV/0!</v>
      </c>
      <c r="P153" s="351" t="s">
        <v>539</v>
      </c>
      <c r="Q153" s="355" t="e">
        <f ca="1">O153*M153</f>
        <v>#DIV/0!</v>
      </c>
      <c r="R153" s="218"/>
      <c r="S153" s="218"/>
      <c r="T153" s="188"/>
      <c r="U153" s="600" t="s">
        <v>567</v>
      </c>
    </row>
    <row r="154" spans="1:22">
      <c r="A154" s="188"/>
      <c r="B154" s="188"/>
      <c r="C154" s="723"/>
      <c r="D154" s="578"/>
      <c r="E154" s="363">
        <v>2</v>
      </c>
      <c r="F154" s="363"/>
      <c r="G154" s="1190" t="s">
        <v>564</v>
      </c>
      <c r="H154" s="1190"/>
      <c r="I154" s="364" t="s">
        <v>544</v>
      </c>
      <c r="J154" s="577"/>
      <c r="K154" s="577" t="s">
        <v>545</v>
      </c>
      <c r="L154" s="578"/>
      <c r="M154" s="577">
        <v>2</v>
      </c>
      <c r="N154" s="363"/>
      <c r="O154" s="577" t="s">
        <v>565</v>
      </c>
      <c r="P154" s="578"/>
      <c r="Q154" s="363" t="s">
        <v>553</v>
      </c>
      <c r="R154" s="218"/>
      <c r="S154" s="218"/>
      <c r="T154" s="188"/>
      <c r="U154" s="600"/>
    </row>
    <row r="155" spans="1:22">
      <c r="A155" s="188"/>
      <c r="B155" s="188"/>
      <c r="C155" s="723"/>
      <c r="D155" s="578"/>
      <c r="E155" s="363"/>
      <c r="F155" s="363"/>
      <c r="G155" s="1190"/>
      <c r="H155" s="1190"/>
      <c r="I155" s="364"/>
      <c r="J155" s="577"/>
      <c r="K155" s="577"/>
      <c r="L155" s="578"/>
      <c r="M155" s="577"/>
      <c r="N155" s="363"/>
      <c r="O155" s="577"/>
      <c r="P155" s="578"/>
      <c r="Q155" s="363"/>
      <c r="R155" s="188"/>
      <c r="S155" s="188"/>
      <c r="T155" s="188"/>
      <c r="U155" s="600"/>
    </row>
    <row r="156" spans="1:22">
      <c r="A156" s="188"/>
      <c r="B156" s="680" t="s">
        <v>568</v>
      </c>
      <c r="C156" s="188"/>
      <c r="D156" s="188"/>
      <c r="E156" s="363"/>
      <c r="F156" s="188"/>
      <c r="G156" s="188"/>
      <c r="H156" s="188"/>
      <c r="I156" s="188"/>
      <c r="J156" s="188"/>
      <c r="K156" s="188"/>
      <c r="L156" s="188"/>
      <c r="M156" s="188"/>
      <c r="N156" s="188"/>
      <c r="O156" s="188"/>
      <c r="P156" s="188"/>
      <c r="Q156" s="188"/>
      <c r="R156" s="188"/>
      <c r="S156" s="220" t="s">
        <v>26</v>
      </c>
      <c r="T156" s="188"/>
      <c r="U156" s="600"/>
    </row>
    <row r="157" spans="1:22" ht="12.75" customHeight="1">
      <c r="A157" s="188"/>
      <c r="B157" s="680" t="s">
        <v>569</v>
      </c>
      <c r="C157" s="188"/>
      <c r="D157" s="221"/>
      <c r="E157" s="221"/>
      <c r="F157" s="221"/>
      <c r="G157" s="188"/>
      <c r="H157" s="188"/>
      <c r="J157" s="198"/>
      <c r="K157" s="368" t="e">
        <f ca="1">IF(Q137&lt;MIN(Q150,Q153),Q137,MIN(Q150,Q153))</f>
        <v>#DIV/0!</v>
      </c>
      <c r="L157" s="1193" t="s">
        <v>69</v>
      </c>
      <c r="M157" s="1798" t="e">
        <f ca="1">IF($K$157&lt;Q137,"Warning - below load",IF($K$157&gt;Q134,"OK - above brk. rating","OK - below brk. rating"))</f>
        <v>#DIV/0!</v>
      </c>
      <c r="N157" s="1798"/>
      <c r="O157" s="1798"/>
      <c r="P157" s="188"/>
      <c r="Q157" s="348" t="s">
        <v>570</v>
      </c>
      <c r="R157" s="199" t="s">
        <v>378</v>
      </c>
      <c r="S157" s="367" t="e">
        <f ca="1">IF(K158=0,K157,K158)</f>
        <v>#DIV/0!</v>
      </c>
      <c r="T157" s="680" t="s">
        <v>69</v>
      </c>
      <c r="U157" s="600" t="s">
        <v>571</v>
      </c>
    </row>
    <row r="158" spans="1:22">
      <c r="A158" s="188"/>
      <c r="B158" s="680" t="s">
        <v>572</v>
      </c>
      <c r="C158" s="188"/>
      <c r="D158" s="188"/>
      <c r="E158" s="188"/>
      <c r="F158" s="188"/>
      <c r="G158" s="188"/>
      <c r="H158" s="202"/>
      <c r="I158" s="103" t="s">
        <v>573</v>
      </c>
      <c r="J158" s="47" t="s">
        <v>378</v>
      </c>
      <c r="K158" s="146"/>
      <c r="L158" s="680"/>
      <c r="M158" s="188"/>
      <c r="N158" s="188"/>
      <c r="O158" s="188"/>
      <c r="P158" s="188"/>
      <c r="Q158" s="348" t="s">
        <v>574</v>
      </c>
      <c r="R158" s="188"/>
      <c r="S158" s="223"/>
      <c r="T158" s="188"/>
      <c r="U158" s="600"/>
    </row>
    <row r="159" spans="1:22">
      <c r="A159" s="188"/>
      <c r="B159" s="235" t="s">
        <v>575</v>
      </c>
      <c r="C159" s="188"/>
      <c r="D159" s="188"/>
      <c r="E159" s="188"/>
      <c r="F159" s="188"/>
      <c r="G159" s="188"/>
      <c r="H159" s="202"/>
      <c r="I159" s="197"/>
      <c r="J159" s="198"/>
      <c r="K159" s="197"/>
      <c r="L159" s="1193"/>
      <c r="M159" s="222"/>
      <c r="N159" s="188"/>
      <c r="O159" s="188"/>
      <c r="P159" s="188"/>
      <c r="Q159" s="188"/>
      <c r="R159" s="188"/>
      <c r="S159" s="188"/>
      <c r="T159" s="188"/>
      <c r="U159" s="600"/>
    </row>
    <row r="160" spans="1:22" s="213" customFormat="1" ht="14.25" customHeight="1">
      <c r="A160" s="1191"/>
      <c r="B160" s="212" t="s">
        <v>576</v>
      </c>
      <c r="C160" s="1191"/>
      <c r="D160" s="1191"/>
      <c r="E160" s="1191"/>
      <c r="F160" s="1191"/>
      <c r="G160" s="1192"/>
      <c r="H160" s="1191"/>
      <c r="I160" s="1191"/>
      <c r="J160" s="1191"/>
      <c r="K160" s="1192"/>
      <c r="L160" s="1191"/>
      <c r="M160" s="1191"/>
      <c r="N160" s="1191"/>
      <c r="O160" s="1191"/>
      <c r="P160" s="1191"/>
      <c r="Q160" s="1191"/>
      <c r="R160" s="187"/>
      <c r="S160" s="187"/>
      <c r="T160" s="680"/>
      <c r="U160" s="600"/>
      <c r="V160" s="617"/>
    </row>
    <row r="161" spans="1:21">
      <c r="A161" s="188"/>
      <c r="B161" s="197" t="s">
        <v>577</v>
      </c>
      <c r="C161" s="188"/>
      <c r="D161" s="188"/>
      <c r="E161" s="188"/>
      <c r="F161" s="188"/>
      <c r="G161" s="188"/>
      <c r="H161" s="202"/>
      <c r="I161" s="197"/>
      <c r="J161" s="198"/>
      <c r="K161" s="197"/>
      <c r="L161" s="1193"/>
      <c r="M161" s="222"/>
      <c r="N161" s="188"/>
      <c r="O161" s="188"/>
      <c r="P161" s="188"/>
      <c r="Q161" s="188"/>
      <c r="R161" s="188"/>
      <c r="S161" s="188"/>
      <c r="T161" s="188"/>
      <c r="U161" s="600"/>
    </row>
    <row r="162" spans="1:21">
      <c r="A162" s="188"/>
      <c r="B162" s="680" t="s">
        <v>578</v>
      </c>
      <c r="C162" s="188"/>
      <c r="D162" s="188"/>
      <c r="E162" s="188"/>
      <c r="F162" s="188"/>
      <c r="G162" s="188"/>
      <c r="H162" s="202"/>
      <c r="I162" s="197"/>
      <c r="J162" s="198"/>
      <c r="K162" s="197"/>
      <c r="L162" s="1193"/>
      <c r="M162" s="222"/>
      <c r="N162" s="188"/>
      <c r="O162" s="188"/>
      <c r="P162" s="188"/>
      <c r="Q162" s="188"/>
      <c r="R162" s="188"/>
      <c r="S162" s="188"/>
      <c r="T162" s="188"/>
      <c r="U162" s="600"/>
    </row>
    <row r="163" spans="1:21">
      <c r="A163" s="188"/>
      <c r="B163" s="680" t="s">
        <v>579</v>
      </c>
      <c r="C163" s="188"/>
      <c r="D163" s="188"/>
      <c r="E163" s="188"/>
      <c r="F163" s="188"/>
      <c r="G163" s="188"/>
      <c r="H163" s="202"/>
      <c r="I163" s="197"/>
      <c r="J163" s="198"/>
      <c r="K163" s="197"/>
      <c r="L163" s="1193"/>
      <c r="M163" s="222"/>
      <c r="N163" s="188"/>
      <c r="O163" s="188"/>
      <c r="P163" s="188"/>
      <c r="Q163" s="188"/>
      <c r="R163" s="188"/>
      <c r="S163" s="188"/>
      <c r="T163" s="188"/>
      <c r="U163" s="600"/>
    </row>
    <row r="164" spans="1:21">
      <c r="A164" s="188"/>
      <c r="B164" s="1177" t="s">
        <v>580</v>
      </c>
      <c r="C164" s="1375"/>
      <c r="D164" s="1375"/>
      <c r="E164" s="1375"/>
      <c r="F164" s="1375"/>
      <c r="G164" s="1375"/>
      <c r="H164" s="1375"/>
      <c r="I164" s="1419"/>
      <c r="J164" s="1420"/>
      <c r="K164" s="1419"/>
      <c r="L164" s="1421"/>
      <c r="M164" s="1418"/>
      <c r="N164" s="1375"/>
      <c r="O164" s="1375"/>
      <c r="P164" s="1375"/>
      <c r="Q164" s="1375"/>
      <c r="R164" s="1375"/>
      <c r="S164" s="1375"/>
      <c r="T164" s="1375"/>
      <c r="U164" s="600"/>
    </row>
    <row r="165" spans="1:21">
      <c r="A165" s="188"/>
      <c r="B165" s="1177" t="s">
        <v>581</v>
      </c>
      <c r="C165" s="1375"/>
      <c r="D165" s="1375"/>
      <c r="E165" s="1375"/>
      <c r="F165" s="1375"/>
      <c r="G165" s="1375"/>
      <c r="H165" s="1375"/>
      <c r="I165" s="1419"/>
      <c r="J165" s="1420"/>
      <c r="K165" s="1419"/>
      <c r="L165" s="1421"/>
      <c r="M165" s="1418"/>
      <c r="N165" s="1375"/>
      <c r="O165" s="1375"/>
      <c r="P165" s="1375"/>
      <c r="Q165" s="1375"/>
      <c r="R165" s="1375"/>
      <c r="S165" s="1375"/>
      <c r="T165" s="1375"/>
      <c r="U165" s="600"/>
    </row>
    <row r="166" spans="1:21">
      <c r="A166" s="188"/>
      <c r="B166" s="680" t="s">
        <v>582</v>
      </c>
      <c r="C166" s="188"/>
      <c r="D166" s="188"/>
      <c r="E166" s="188"/>
      <c r="F166" s="188"/>
      <c r="G166" s="188"/>
      <c r="H166" s="202"/>
      <c r="I166" s="197"/>
      <c r="J166" s="198"/>
      <c r="K166" s="197"/>
      <c r="L166" s="1193"/>
      <c r="M166" s="222"/>
      <c r="N166" s="188"/>
      <c r="O166" s="188"/>
      <c r="P166" s="188"/>
      <c r="Q166" s="188"/>
      <c r="R166" s="188"/>
      <c r="S166" s="188"/>
      <c r="T166" s="188"/>
      <c r="U166" s="600"/>
    </row>
    <row r="167" spans="1:21">
      <c r="A167" s="188"/>
      <c r="B167" s="680" t="s">
        <v>583</v>
      </c>
      <c r="C167" s="188"/>
      <c r="D167" s="188"/>
      <c r="E167" s="188"/>
      <c r="F167" s="188"/>
      <c r="G167" s="188"/>
      <c r="H167" s="202"/>
      <c r="I167" s="197"/>
      <c r="J167" s="198"/>
      <c r="K167" s="197"/>
      <c r="L167" s="1193"/>
      <c r="M167" s="222"/>
      <c r="N167" s="188"/>
      <c r="O167" s="188"/>
      <c r="P167" s="188"/>
      <c r="Q167" s="188"/>
      <c r="R167" s="188"/>
      <c r="S167" s="188"/>
      <c r="T167" s="188"/>
      <c r="U167" s="600"/>
    </row>
    <row r="168" spans="1:21">
      <c r="A168" s="188"/>
      <c r="B168" s="680" t="s">
        <v>584</v>
      </c>
      <c r="C168" s="188"/>
      <c r="D168" s="188"/>
      <c r="E168" s="188"/>
      <c r="F168" s="188"/>
      <c r="G168" s="188"/>
      <c r="H168" s="202"/>
      <c r="I168" s="197"/>
      <c r="J168" s="198"/>
      <c r="K168" s="197"/>
      <c r="L168" s="1193"/>
      <c r="M168" s="222"/>
      <c r="N168" s="188"/>
      <c r="O168" s="188"/>
      <c r="P168" s="188"/>
      <c r="Q168" s="188"/>
      <c r="R168" s="188"/>
      <c r="S168" s="188"/>
      <c r="T168" s="188"/>
      <c r="U168" s="600"/>
    </row>
    <row r="169" spans="1:21">
      <c r="A169" s="188"/>
      <c r="B169" s="680"/>
      <c r="C169" s="188"/>
      <c r="D169" s="188"/>
      <c r="E169" s="188"/>
      <c r="F169" s="188"/>
      <c r="G169" s="188"/>
      <c r="H169" s="202"/>
      <c r="I169" s="197"/>
      <c r="J169" s="198"/>
      <c r="K169" s="197"/>
      <c r="L169" s="1193"/>
      <c r="M169" s="222"/>
      <c r="N169" s="188"/>
      <c r="O169" s="188"/>
      <c r="P169" s="188"/>
      <c r="Q169" s="188"/>
      <c r="R169" s="188"/>
      <c r="S169" s="188"/>
      <c r="T169" s="188"/>
      <c r="U169" s="600"/>
    </row>
    <row r="170" spans="1:21">
      <c r="A170" s="188"/>
      <c r="B170" s="1381" t="s">
        <v>585</v>
      </c>
      <c r="C170" s="199" t="s">
        <v>365</v>
      </c>
      <c r="D170" s="188"/>
      <c r="E170" s="1349">
        <v>1.2</v>
      </c>
      <c r="F170" s="188"/>
      <c r="G170" s="188"/>
      <c r="H170" s="202"/>
      <c r="I170" s="197"/>
      <c r="J170" s="198"/>
      <c r="K170" s="197"/>
      <c r="L170" s="1193"/>
      <c r="M170" s="222"/>
      <c r="N170" s="188"/>
      <c r="O170" s="188"/>
      <c r="P170" s="188"/>
      <c r="Q170" s="188"/>
      <c r="R170" s="188"/>
      <c r="S170" s="188"/>
      <c r="T170" s="188"/>
      <c r="U170" s="600"/>
    </row>
    <row r="171" spans="1:21">
      <c r="A171" s="188"/>
      <c r="B171" s="680"/>
      <c r="C171" s="188"/>
      <c r="D171" s="188"/>
      <c r="E171" s="235" t="s">
        <v>586</v>
      </c>
      <c r="F171" s="188"/>
      <c r="G171" s="188"/>
      <c r="H171" s="202"/>
      <c r="I171" s="197"/>
      <c r="J171" s="198"/>
      <c r="K171" s="197"/>
      <c r="L171" s="1193"/>
      <c r="M171" s="222"/>
      <c r="N171" s="188"/>
      <c r="O171" s="188"/>
      <c r="P171" s="188"/>
      <c r="Q171" s="188"/>
      <c r="R171" s="188"/>
      <c r="S171" s="188"/>
      <c r="T171" s="188"/>
      <c r="U171" s="600"/>
    </row>
    <row r="172" spans="1:21">
      <c r="A172" s="188"/>
      <c r="B172" s="680"/>
      <c r="C172" s="188"/>
      <c r="D172" s="188"/>
      <c r="E172" s="235"/>
      <c r="F172" s="188"/>
      <c r="G172" s="188"/>
      <c r="H172" s="202"/>
      <c r="I172" s="197"/>
      <c r="J172" s="198"/>
      <c r="K172" s="197"/>
      <c r="L172" s="1193"/>
      <c r="M172" s="222"/>
      <c r="N172" s="188"/>
      <c r="O172" s="188"/>
      <c r="P172" s="188"/>
      <c r="Q172" s="188"/>
      <c r="R172" s="188"/>
      <c r="S172" s="188"/>
      <c r="T172" s="188"/>
      <c r="U172" s="600"/>
    </row>
    <row r="173" spans="1:21">
      <c r="A173" s="188"/>
      <c r="B173" s="680" t="s">
        <v>587</v>
      </c>
      <c r="C173" s="188"/>
      <c r="D173" s="188"/>
      <c r="E173" s="188"/>
      <c r="F173" s="188"/>
      <c r="G173" s="188"/>
      <c r="H173" s="202"/>
      <c r="I173" s="197"/>
      <c r="J173" s="198"/>
      <c r="K173" s="197"/>
      <c r="L173" s="1193"/>
      <c r="M173" s="222"/>
      <c r="N173" s="188"/>
      <c r="O173" s="188"/>
      <c r="P173" s="188"/>
      <c r="Q173" s="188"/>
      <c r="R173" s="188"/>
      <c r="S173" s="188"/>
      <c r="T173" s="188"/>
      <c r="U173" s="600"/>
    </row>
    <row r="174" spans="1:21">
      <c r="A174" s="188"/>
      <c r="B174" s="680"/>
      <c r="C174" s="188"/>
      <c r="D174" s="188"/>
      <c r="E174" s="188"/>
      <c r="F174" s="188"/>
      <c r="G174" s="188"/>
      <c r="H174" s="202"/>
      <c r="I174" s="197"/>
      <c r="J174" s="198"/>
      <c r="K174" s="197"/>
      <c r="L174" s="1193"/>
      <c r="M174" s="222"/>
      <c r="N174" s="188"/>
      <c r="O174" s="188"/>
      <c r="P174" s="188"/>
      <c r="Q174" s="188"/>
      <c r="R174" s="188"/>
      <c r="S174" s="188"/>
      <c r="T174" s="188"/>
      <c r="U174" s="600"/>
    </row>
    <row r="175" spans="1:21">
      <c r="A175" s="188"/>
      <c r="B175" s="680"/>
      <c r="C175" s="188"/>
      <c r="D175" s="188"/>
      <c r="E175" s="188"/>
      <c r="F175" s="188"/>
      <c r="G175" s="188"/>
      <c r="H175" s="202"/>
      <c r="I175" s="197"/>
      <c r="J175" s="198"/>
      <c r="K175" s="197"/>
      <c r="L175" s="1193"/>
      <c r="M175" s="222"/>
      <c r="N175" s="188"/>
      <c r="O175" s="188"/>
      <c r="P175" s="188"/>
      <c r="Q175" s="188"/>
      <c r="R175" s="188"/>
      <c r="S175" s="220" t="s">
        <v>26</v>
      </c>
      <c r="T175" s="188"/>
      <c r="U175" s="600"/>
    </row>
    <row r="176" spans="1:21">
      <c r="A176" s="188"/>
      <c r="B176" s="680"/>
      <c r="C176" s="188"/>
      <c r="D176" s="188"/>
      <c r="E176" s="188"/>
      <c r="F176" s="188"/>
      <c r="G176" s="188"/>
      <c r="H176" s="202"/>
      <c r="I176" s="722" t="s">
        <v>588</v>
      </c>
      <c r="J176" s="759" t="s">
        <v>365</v>
      </c>
      <c r="K176" s="1417">
        <f>_Remote_Line_CTR*5</f>
        <v>0</v>
      </c>
      <c r="L176" s="680" t="s">
        <v>589</v>
      </c>
      <c r="M176" s="188"/>
      <c r="N176" s="188"/>
      <c r="O176" s="188"/>
      <c r="P176" s="188"/>
      <c r="Q176" s="348" t="s">
        <v>590</v>
      </c>
      <c r="R176" s="199" t="s">
        <v>378</v>
      </c>
      <c r="S176" s="413" t="e">
        <f ca="1">IF(K181=0,K180,K181)</f>
        <v>#DIV/0!</v>
      </c>
      <c r="T176" s="680" t="s">
        <v>69</v>
      </c>
      <c r="U176" s="600" t="s">
        <v>591</v>
      </c>
    </row>
    <row r="177" spans="1:21">
      <c r="A177" s="188"/>
      <c r="B177" s="680"/>
      <c r="C177" s="188"/>
      <c r="D177" s="188"/>
      <c r="E177" s="188"/>
      <c r="F177" s="188"/>
      <c r="G177" s="763" t="s">
        <v>592</v>
      </c>
      <c r="L177" s="680"/>
      <c r="M177" s="188"/>
      <c r="N177" s="188"/>
      <c r="O177" s="188"/>
      <c r="P177" s="188"/>
      <c r="Q177" s="348" t="s">
        <v>593</v>
      </c>
      <c r="R177" s="199" t="s">
        <v>378</v>
      </c>
      <c r="S177" s="413">
        <f>K176/5</f>
        <v>0</v>
      </c>
      <c r="T177" s="188"/>
      <c r="U177" s="600"/>
    </row>
    <row r="178" spans="1:21">
      <c r="A178" s="188"/>
      <c r="B178" s="680"/>
      <c r="C178" s="188"/>
      <c r="D178" s="188"/>
      <c r="E178" s="188"/>
      <c r="F178" s="188"/>
      <c r="G178" s="763"/>
      <c r="L178" s="680"/>
      <c r="M178" s="188"/>
      <c r="N178" s="188"/>
      <c r="O178" s="188"/>
      <c r="P178" s="188"/>
      <c r="Q178" s="348"/>
      <c r="R178" s="199"/>
      <c r="S178" s="232"/>
      <c r="T178" s="188"/>
      <c r="U178" s="600"/>
    </row>
    <row r="179" spans="1:21">
      <c r="A179" s="188"/>
      <c r="B179" s="680"/>
      <c r="C179" s="188"/>
      <c r="D179" s="188"/>
      <c r="E179" s="188"/>
      <c r="F179" s="188"/>
      <c r="G179" s="188"/>
      <c r="H179" s="202"/>
      <c r="I179" s="197"/>
      <c r="J179" s="198"/>
      <c r="K179" s="197"/>
      <c r="L179" s="1193"/>
      <c r="M179" s="222"/>
      <c r="N179" s="188"/>
      <c r="O179" s="188"/>
      <c r="P179" s="188"/>
      <c r="Q179" s="188"/>
      <c r="R179" s="188"/>
      <c r="T179" s="188"/>
      <c r="U179" s="600"/>
    </row>
    <row r="180" spans="1:21">
      <c r="A180" s="188"/>
      <c r="C180" s="188"/>
      <c r="D180" s="188"/>
      <c r="E180" s="188"/>
      <c r="F180" s="188"/>
      <c r="G180" s="188"/>
      <c r="H180" s="188"/>
      <c r="J180" s="198"/>
      <c r="K180" s="768" t="e">
        <f ca="1">MAX(MIN(0.8*G27,1.2*(MAX(E6,'1) Data Entry'!E280)+E132))/(MAX(K176,CTR,_CTRX)/5),E170*G30/(MAX(K176,CTR,_CTRX)/5),1)</f>
        <v>#DIV/0!</v>
      </c>
      <c r="L180" s="1193" t="s">
        <v>69</v>
      </c>
      <c r="M180" s="1798" t="e">
        <f ca="1">IF($K$157&lt;Q137,"Warning - below load",IF($K$157&gt;Q134,"OK - above brk. rating","OK - below brk. rating"))</f>
        <v>#DIV/0!</v>
      </c>
      <c r="N180" s="1798"/>
      <c r="O180" s="1798"/>
      <c r="P180" s="188"/>
      <c r="Q180" s="348" t="s">
        <v>594</v>
      </c>
      <c r="R180" s="199" t="s">
        <v>378</v>
      </c>
      <c r="S180" s="413" t="e">
        <f ca="1">IF(K181=0,K180,K181)/5</f>
        <v>#DIV/0!</v>
      </c>
      <c r="T180" s="680" t="s">
        <v>86</v>
      </c>
      <c r="U180" s="600" t="s">
        <v>595</v>
      </c>
    </row>
    <row r="181" spans="1:21">
      <c r="A181" s="188"/>
      <c r="B181" s="235"/>
      <c r="C181" s="188"/>
      <c r="D181" s="188"/>
      <c r="E181" s="188"/>
      <c r="F181" s="188"/>
      <c r="G181" s="188"/>
      <c r="H181" s="202"/>
      <c r="I181" s="103" t="s">
        <v>573</v>
      </c>
      <c r="J181" s="47" t="s">
        <v>378</v>
      </c>
      <c r="K181" s="146"/>
      <c r="L181" s="680"/>
      <c r="M181" s="188"/>
      <c r="N181" s="188"/>
      <c r="O181" s="188"/>
      <c r="P181" s="188"/>
      <c r="Q181" s="348" t="s">
        <v>596</v>
      </c>
      <c r="R181" s="199" t="s">
        <v>378</v>
      </c>
      <c r="S181" s="760">
        <f>K176</f>
        <v>0</v>
      </c>
      <c r="T181" s="188"/>
      <c r="U181" s="600"/>
    </row>
    <row r="182" spans="1:21">
      <c r="A182" s="188"/>
      <c r="C182" s="188"/>
      <c r="D182" s="188"/>
      <c r="E182" s="188"/>
      <c r="F182" s="188"/>
      <c r="G182" s="188"/>
      <c r="H182" s="202"/>
      <c r="I182" s="103"/>
      <c r="J182" s="47"/>
      <c r="K182" s="773" t="s">
        <v>597</v>
      </c>
      <c r="L182" s="680"/>
      <c r="M182" s="188"/>
      <c r="N182" s="188"/>
      <c r="O182" s="188"/>
      <c r="P182" s="188"/>
      <c r="Q182" s="348"/>
      <c r="R182" s="199"/>
      <c r="S182" s="757"/>
      <c r="T182" s="188"/>
      <c r="U182" s="600"/>
    </row>
    <row r="183" spans="1:21">
      <c r="A183" s="188"/>
      <c r="B183" s="197" t="s">
        <v>598</v>
      </c>
      <c r="C183" s="188"/>
      <c r="D183" s="188"/>
      <c r="E183" s="188"/>
      <c r="F183" s="188"/>
      <c r="G183" s="188"/>
      <c r="H183" s="202"/>
      <c r="I183" s="103"/>
      <c r="J183" s="47"/>
      <c r="K183"/>
      <c r="L183" s="680"/>
      <c r="M183" s="188"/>
      <c r="N183" s="188"/>
      <c r="O183" s="188"/>
      <c r="P183" s="188"/>
      <c r="Q183" s="348"/>
      <c r="R183" s="188"/>
      <c r="S183" s="220"/>
      <c r="T183" s="188"/>
      <c r="U183" s="600"/>
    </row>
    <row r="184" spans="1:21">
      <c r="A184" s="188"/>
      <c r="B184" s="680" t="s">
        <v>578</v>
      </c>
      <c r="C184" s="188"/>
      <c r="D184" s="188"/>
      <c r="E184" s="188"/>
      <c r="F184" s="188"/>
      <c r="G184" s="188"/>
      <c r="H184" s="202"/>
      <c r="I184" s="103"/>
      <c r="J184" s="47"/>
      <c r="K184"/>
      <c r="L184" s="680"/>
      <c r="M184" s="188"/>
      <c r="N184" s="188"/>
      <c r="O184" s="188"/>
      <c r="P184" s="188"/>
      <c r="Q184" s="348"/>
      <c r="R184" s="199"/>
      <c r="S184" s="348"/>
      <c r="T184" s="680"/>
      <c r="U184" s="600"/>
    </row>
    <row r="185" spans="1:21">
      <c r="A185" s="188"/>
      <c r="B185" s="680" t="s">
        <v>599</v>
      </c>
      <c r="C185" s="188"/>
      <c r="D185" s="188"/>
      <c r="E185" s="188"/>
      <c r="F185" s="188"/>
      <c r="G185" s="188"/>
      <c r="H185" s="202"/>
      <c r="I185" s="103"/>
      <c r="J185" s="47"/>
      <c r="K185"/>
      <c r="L185" s="680"/>
      <c r="M185" s="188"/>
      <c r="N185" s="188"/>
      <c r="O185" s="188"/>
      <c r="P185" s="188"/>
      <c r="Q185" s="188"/>
      <c r="R185" s="188"/>
      <c r="T185" s="188"/>
      <c r="U185" s="600"/>
    </row>
    <row r="186" spans="1:21">
      <c r="A186" s="188"/>
      <c r="B186" s="1177" t="s">
        <v>580</v>
      </c>
      <c r="C186" s="188"/>
      <c r="D186" s="188"/>
      <c r="E186" s="188"/>
      <c r="F186" s="188"/>
      <c r="G186" s="188"/>
      <c r="H186" s="202"/>
      <c r="I186" s="103"/>
      <c r="J186" s="47"/>
      <c r="K186"/>
      <c r="L186" s="680"/>
      <c r="M186" s="188"/>
      <c r="N186" s="188"/>
      <c r="O186" s="188"/>
      <c r="P186" s="188"/>
      <c r="Q186" s="188"/>
      <c r="R186" s="188"/>
      <c r="T186" s="188"/>
      <c r="U186" s="600"/>
    </row>
    <row r="187" spans="1:21">
      <c r="A187" s="188"/>
      <c r="B187" s="1177" t="s">
        <v>581</v>
      </c>
      <c r="C187" s="188"/>
      <c r="D187" s="188"/>
      <c r="E187" s="188"/>
      <c r="F187" s="188"/>
      <c r="G187" s="188"/>
      <c r="H187" s="202"/>
      <c r="I187" s="103"/>
      <c r="J187" s="47"/>
      <c r="K187"/>
      <c r="L187" s="680"/>
      <c r="M187" s="188"/>
      <c r="N187" s="188"/>
      <c r="O187" s="188"/>
      <c r="P187" s="188"/>
      <c r="Q187" s="188"/>
      <c r="R187" s="188"/>
      <c r="S187" s="220"/>
      <c r="T187" s="188"/>
      <c r="U187" s="600"/>
    </row>
    <row r="188" spans="1:21">
      <c r="A188" s="188"/>
      <c r="B188" s="680" t="s">
        <v>600</v>
      </c>
      <c r="C188" s="188"/>
      <c r="D188" s="188"/>
      <c r="E188" s="188"/>
      <c r="F188" s="188"/>
      <c r="G188" s="188"/>
      <c r="H188" s="202"/>
      <c r="I188" s="103"/>
      <c r="J188" s="47"/>
      <c r="K188"/>
      <c r="L188" s="680"/>
      <c r="M188" s="188"/>
      <c r="N188" s="188"/>
      <c r="O188" s="188"/>
      <c r="P188" s="188"/>
      <c r="Q188" s="188"/>
      <c r="R188" s="188"/>
      <c r="S188" s="220"/>
      <c r="T188" s="188"/>
      <c r="U188" s="600"/>
    </row>
    <row r="189" spans="1:21">
      <c r="A189" s="188"/>
      <c r="B189" s="680" t="s">
        <v>583</v>
      </c>
      <c r="C189" s="188"/>
      <c r="D189" s="188"/>
      <c r="E189" s="188"/>
      <c r="F189" s="188"/>
      <c r="G189" s="188"/>
      <c r="H189" s="202"/>
      <c r="I189" s="103"/>
      <c r="J189" s="47"/>
      <c r="K189"/>
      <c r="L189" s="680"/>
      <c r="M189" s="188"/>
      <c r="N189" s="188"/>
      <c r="O189" s="188"/>
      <c r="P189" s="188"/>
      <c r="Q189" s="188"/>
      <c r="R189" s="188"/>
      <c r="S189" s="220"/>
      <c r="T189" s="188"/>
      <c r="U189" s="600"/>
    </row>
    <row r="190" spans="1:21">
      <c r="A190" s="188"/>
      <c r="B190" s="680" t="s">
        <v>584</v>
      </c>
      <c r="C190" s="188"/>
      <c r="D190" s="188"/>
      <c r="E190" s="188"/>
      <c r="F190" s="188"/>
      <c r="G190" s="188"/>
      <c r="H190" s="202"/>
      <c r="I190" s="103"/>
      <c r="J190" s="47"/>
      <c r="K190"/>
      <c r="L190" s="680"/>
      <c r="M190" s="188"/>
      <c r="N190" s="188"/>
      <c r="O190" s="188"/>
      <c r="P190" s="188"/>
      <c r="Q190" s="188"/>
      <c r="R190" s="188"/>
      <c r="S190" s="220"/>
      <c r="T190" s="188"/>
      <c r="U190" s="600"/>
    </row>
    <row r="191" spans="1:21">
      <c r="A191" s="188"/>
      <c r="B191" s="680"/>
      <c r="C191" s="188"/>
      <c r="D191" s="188"/>
      <c r="E191" s="188"/>
      <c r="F191" s="188"/>
      <c r="G191" s="188"/>
      <c r="H191" s="202"/>
      <c r="I191" s="103"/>
      <c r="J191" s="47"/>
      <c r="K191"/>
      <c r="L191" s="680"/>
      <c r="M191" s="188"/>
      <c r="N191" s="188"/>
      <c r="O191" s="188"/>
      <c r="P191" s="188"/>
      <c r="Q191" s="188"/>
      <c r="R191" s="188"/>
      <c r="S191" s="220"/>
      <c r="T191" s="188"/>
      <c r="U191" s="600"/>
    </row>
    <row r="192" spans="1:21">
      <c r="B192" s="1381" t="s">
        <v>601</v>
      </c>
      <c r="C192" s="199" t="s">
        <v>365</v>
      </c>
      <c r="D192" s="188"/>
      <c r="E192" s="1349">
        <v>1.2</v>
      </c>
    </row>
    <row r="193" spans="1:22">
      <c r="A193" s="188"/>
      <c r="B193" s="680"/>
      <c r="C193" s="188"/>
      <c r="D193" s="188"/>
      <c r="E193" s="235" t="s">
        <v>586</v>
      </c>
      <c r="F193" s="188"/>
      <c r="G193" s="188"/>
      <c r="H193" s="202"/>
      <c r="I193" s="103"/>
      <c r="J193" s="47"/>
      <c r="K193"/>
      <c r="L193" s="680"/>
      <c r="M193" s="188"/>
      <c r="N193" s="188"/>
      <c r="O193" s="188"/>
      <c r="P193" s="188"/>
      <c r="Q193" s="188"/>
      <c r="R193" s="188"/>
      <c r="S193" s="220"/>
      <c r="T193" s="188"/>
      <c r="U193" s="600"/>
    </row>
    <row r="194" spans="1:22">
      <c r="A194" s="188"/>
      <c r="B194" s="680"/>
      <c r="C194" s="188"/>
      <c r="D194" s="188"/>
      <c r="E194" s="188"/>
      <c r="F194" s="188"/>
      <c r="G194" s="188"/>
      <c r="H194" s="202"/>
      <c r="I194" s="103"/>
      <c r="J194" s="47"/>
      <c r="K194"/>
      <c r="L194" s="680"/>
      <c r="M194" s="188"/>
      <c r="N194" s="188"/>
      <c r="O194" s="188"/>
      <c r="P194" s="188"/>
      <c r="Q194" s="188"/>
      <c r="R194" s="188"/>
      <c r="S194" s="220" t="s">
        <v>26</v>
      </c>
      <c r="T194" s="188"/>
      <c r="U194" s="600"/>
    </row>
    <row r="195" spans="1:22">
      <c r="A195" s="188"/>
      <c r="B195" s="680" t="s">
        <v>602</v>
      </c>
      <c r="C195" s="188"/>
      <c r="D195" s="188"/>
      <c r="E195" s="188"/>
      <c r="F195" s="188"/>
      <c r="G195" s="188"/>
      <c r="H195" s="202"/>
      <c r="I195" s="103"/>
      <c r="J195" s="47"/>
      <c r="K195"/>
      <c r="L195" s="680"/>
      <c r="M195" s="188"/>
      <c r="N195" s="188"/>
      <c r="O195" s="188"/>
      <c r="P195" s="188"/>
      <c r="Q195" s="348" t="s">
        <v>603</v>
      </c>
      <c r="R195" s="199" t="s">
        <v>378</v>
      </c>
      <c r="S195" s="413" t="e">
        <f ca="1">ROUNDUP(IF(K197=0,K196,K197),2)</f>
        <v>#DIV/0!</v>
      </c>
      <c r="T195" s="680" t="s">
        <v>69</v>
      </c>
      <c r="U195" s="600" t="s">
        <v>604</v>
      </c>
      <c r="V195" s="838" t="e">
        <f ca="1">IF(_87L2P&gt;5,"87L2P setting should be less than 5 amp secondary for 311L relays","")</f>
        <v>#DIV/0!</v>
      </c>
    </row>
    <row r="196" spans="1:22">
      <c r="A196" s="188"/>
      <c r="B196" s="680" t="s">
        <v>605</v>
      </c>
      <c r="C196" s="188"/>
      <c r="D196" s="188"/>
      <c r="E196" s="188"/>
      <c r="F196" s="188"/>
      <c r="G196" s="188"/>
      <c r="H196" s="202"/>
      <c r="I196" s="103"/>
      <c r="J196" s="47"/>
      <c r="K196" s="768" t="e">
        <f ca="1">MAX(MIN(0.8*G28*3,1.2*MAX(E6,'1) Data Entry'!E280))/(MAX(K176,CTR,_CTRX)/5),E192*3*G31/(MAX(K176,CTR,_CTRX)/5),0.5)</f>
        <v>#DIV/0!</v>
      </c>
      <c r="L196" s="680" t="s">
        <v>69</v>
      </c>
      <c r="M196" s="719"/>
      <c r="N196" s="719" t="s">
        <v>365</v>
      </c>
      <c r="O196" s="719" t="s">
        <v>606</v>
      </c>
      <c r="P196" s="188"/>
      <c r="Q196" s="348" t="s">
        <v>607</v>
      </c>
      <c r="R196" s="199" t="s">
        <v>378</v>
      </c>
      <c r="S196" s="413" t="e">
        <f ca="1">ROUNDUP(IF(K197=0,K196,K197)/5,2)</f>
        <v>#DIV/0!</v>
      </c>
      <c r="T196" s="680" t="s">
        <v>86</v>
      </c>
      <c r="U196" s="600" t="s">
        <v>608</v>
      </c>
    </row>
    <row r="197" spans="1:22" ht="15.75" customHeight="1">
      <c r="A197" s="188"/>
      <c r="B197" s="772" t="s">
        <v>609</v>
      </c>
      <c r="C197" s="772"/>
      <c r="D197" s="772"/>
      <c r="E197" s="772"/>
      <c r="F197" s="772"/>
      <c r="G197" s="772"/>
      <c r="H197" s="772"/>
      <c r="I197" s="103" t="s">
        <v>573</v>
      </c>
      <c r="J197" s="47" t="s">
        <v>378</v>
      </c>
      <c r="K197" s="146"/>
      <c r="L197" s="680"/>
      <c r="M197" s="188"/>
      <c r="N197" s="188"/>
      <c r="O197" s="188"/>
      <c r="P197" s="188"/>
      <c r="Q197" s="348"/>
      <c r="R197" s="199"/>
      <c r="S197" s="757"/>
      <c r="T197" s="188"/>
      <c r="U197" s="600"/>
    </row>
    <row r="198" spans="1:22">
      <c r="A198" s="188"/>
      <c r="B198" s="772"/>
      <c r="C198" s="772"/>
      <c r="D198" s="772"/>
      <c r="E198" s="772"/>
      <c r="F198" s="772"/>
      <c r="G198" s="772"/>
      <c r="H198" s="772"/>
      <c r="I198" s="103"/>
      <c r="J198" s="47"/>
      <c r="K198"/>
      <c r="L198" s="680"/>
      <c r="M198" s="188"/>
      <c r="N198" s="188"/>
      <c r="O198" s="188"/>
      <c r="P198" s="188"/>
      <c r="U198" s="64"/>
    </row>
    <row r="199" spans="1:22">
      <c r="A199" s="188"/>
      <c r="B199" s="235"/>
      <c r="C199" s="188"/>
      <c r="D199" s="188"/>
      <c r="E199" s="188"/>
      <c r="F199" s="188"/>
      <c r="N199" s="188"/>
      <c r="O199" s="188"/>
      <c r="P199" s="188"/>
      <c r="U199" s="64"/>
    </row>
    <row r="200" spans="1:22">
      <c r="A200" s="188"/>
      <c r="B200" s="197" t="s">
        <v>610</v>
      </c>
      <c r="C200" s="188"/>
      <c r="D200" s="188"/>
      <c r="E200" s="188"/>
      <c r="F200" s="188"/>
      <c r="G200" s="188"/>
      <c r="H200" s="202"/>
      <c r="J200" s="198"/>
      <c r="L200" s="188"/>
      <c r="M200" s="222"/>
      <c r="N200" s="188"/>
      <c r="O200" s="188"/>
      <c r="P200" s="188"/>
      <c r="Q200" s="348"/>
      <c r="R200" s="199"/>
      <c r="T200" s="680"/>
      <c r="U200" s="600"/>
    </row>
    <row r="201" spans="1:22">
      <c r="A201" s="188"/>
      <c r="B201" s="680" t="s">
        <v>578</v>
      </c>
      <c r="C201" s="188"/>
      <c r="D201" s="188"/>
      <c r="E201" s="188"/>
      <c r="F201" s="188"/>
      <c r="G201" s="188"/>
      <c r="H201" s="202"/>
      <c r="I201" s="103"/>
      <c r="J201" s="47"/>
      <c r="L201" s="188"/>
      <c r="M201" s="222"/>
      <c r="N201" s="188"/>
      <c r="O201" s="188"/>
      <c r="P201" s="188"/>
      <c r="Q201" s="348"/>
      <c r="R201" s="199"/>
      <c r="T201" s="680"/>
      <c r="U201" s="600"/>
    </row>
    <row r="202" spans="1:22">
      <c r="A202" s="188"/>
      <c r="B202" s="680" t="s">
        <v>599</v>
      </c>
      <c r="C202" s="188"/>
      <c r="D202" s="188"/>
      <c r="E202" s="188"/>
      <c r="F202" s="188"/>
      <c r="G202" s="188"/>
      <c r="H202" s="202"/>
      <c r="I202" s="103"/>
      <c r="J202" s="198"/>
      <c r="K202" s="761"/>
      <c r="L202" s="188"/>
      <c r="M202" s="222"/>
      <c r="N202" s="188"/>
      <c r="O202" s="188"/>
      <c r="P202" s="188"/>
      <c r="Q202" s="348"/>
      <c r="R202" s="199"/>
      <c r="S202" s="406"/>
      <c r="T202" s="188"/>
      <c r="U202" s="600"/>
    </row>
    <row r="203" spans="1:22">
      <c r="A203" s="188"/>
      <c r="B203" s="680" t="s">
        <v>611</v>
      </c>
      <c r="C203" s="188"/>
      <c r="D203" s="188"/>
      <c r="E203" s="188"/>
      <c r="F203" s="188"/>
      <c r="G203" s="188"/>
      <c r="H203" s="202"/>
      <c r="I203" s="103"/>
      <c r="J203" s="198"/>
      <c r="K203" s="761"/>
      <c r="L203" s="188"/>
      <c r="M203" s="222"/>
      <c r="N203" s="188"/>
      <c r="O203" s="188"/>
      <c r="P203" s="188"/>
      <c r="Q203" s="348"/>
      <c r="R203" s="199"/>
      <c r="S203" s="406"/>
      <c r="T203" s="188"/>
      <c r="U203" s="600"/>
    </row>
    <row r="204" spans="1:22">
      <c r="A204" s="188"/>
      <c r="B204" s="680" t="s">
        <v>602</v>
      </c>
      <c r="C204" s="188"/>
      <c r="D204" s="188"/>
      <c r="E204" s="188"/>
      <c r="F204" s="188"/>
      <c r="G204" s="188"/>
      <c r="H204" s="202"/>
      <c r="I204" s="103"/>
      <c r="J204" s="198"/>
      <c r="K204" s="761"/>
      <c r="L204" s="188"/>
      <c r="M204" s="222"/>
      <c r="N204" s="188"/>
      <c r="O204" s="188"/>
      <c r="P204" s="188"/>
      <c r="Q204" s="348" t="s">
        <v>612</v>
      </c>
      <c r="R204" s="199" t="s">
        <v>378</v>
      </c>
      <c r="S204" s="413" t="e">
        <f ca="1">ROUNDUP(IF(K207=0,K206,K207),2)</f>
        <v>#DIV/0!</v>
      </c>
      <c r="T204" s="680" t="s">
        <v>69</v>
      </c>
      <c r="U204" s="600" t="s">
        <v>613</v>
      </c>
      <c r="V204" s="838" t="e">
        <f ca="1">IF(_87LGP_311L&gt;5,"87LGP setting should be less than 5 amp secondary for 311L relays","")</f>
        <v>#DIV/0!</v>
      </c>
    </row>
    <row r="205" spans="1:22">
      <c r="A205" s="188"/>
      <c r="B205" s="680" t="s">
        <v>614</v>
      </c>
      <c r="C205" s="188"/>
      <c r="D205" s="188"/>
      <c r="E205" s="188"/>
      <c r="F205" s="188"/>
      <c r="G205" s="188"/>
      <c r="H205" s="202"/>
      <c r="I205" s="103"/>
      <c r="L205" s="680"/>
      <c r="M205" s="188"/>
      <c r="N205" s="188"/>
      <c r="O205" s="188"/>
      <c r="P205" s="188"/>
      <c r="Q205" s="348" t="s">
        <v>615</v>
      </c>
      <c r="R205" s="199" t="s">
        <v>378</v>
      </c>
      <c r="S205" s="413" t="e">
        <f ca="1">ROUNDUP(IF(K207=0,K206,K207)/5,2)</f>
        <v>#DIV/0!</v>
      </c>
      <c r="T205" s="680" t="s">
        <v>86</v>
      </c>
      <c r="U205" s="600" t="s">
        <v>616</v>
      </c>
    </row>
    <row r="206" spans="1:22" ht="15.75" customHeight="1">
      <c r="A206" s="188"/>
      <c r="B206" s="772" t="s">
        <v>609</v>
      </c>
      <c r="C206" s="772"/>
      <c r="D206" s="772"/>
      <c r="E206" s="772"/>
      <c r="F206" s="772"/>
      <c r="G206" s="772"/>
      <c r="H206" s="772"/>
      <c r="I206" s="103"/>
      <c r="K206" s="768" t="e">
        <f ca="1">MAX(MIN(0.8*G29,1.2*MAX(E6,'1) Data Entry'!E280))/(MAX(K176,CTR,_CTRX)/5),1.2*G32/(MAX(K176,CTR,_CTRX)/5),0.5)</f>
        <v>#DIV/0!</v>
      </c>
      <c r="L206" s="680" t="s">
        <v>69</v>
      </c>
      <c r="M206" s="188"/>
      <c r="N206" s="188"/>
      <c r="O206" s="188"/>
      <c r="P206" s="188"/>
      <c r="Q206" s="348"/>
      <c r="R206" s="199"/>
      <c r="S206" s="232"/>
      <c r="T206" s="680"/>
      <c r="U206" s="600"/>
    </row>
    <row r="207" spans="1:22">
      <c r="A207" s="188"/>
      <c r="B207" s="772"/>
      <c r="C207" s="772"/>
      <c r="D207" s="772"/>
      <c r="E207" s="772"/>
      <c r="F207" s="772"/>
      <c r="G207" s="772"/>
      <c r="H207" s="772"/>
      <c r="I207" s="103" t="s">
        <v>573</v>
      </c>
      <c r="J207" s="47" t="s">
        <v>378</v>
      </c>
      <c r="K207" s="146"/>
      <c r="L207" s="680"/>
      <c r="M207" s="188"/>
      <c r="N207" s="188"/>
      <c r="O207" s="188"/>
      <c r="P207" s="188"/>
      <c r="Q207" s="348"/>
      <c r="R207" s="199"/>
      <c r="S207" s="232"/>
      <c r="T207" s="680"/>
      <c r="U207" s="600"/>
    </row>
    <row r="208" spans="1:22">
      <c r="A208" s="224"/>
      <c r="B208" s="187"/>
      <c r="C208" s="187"/>
      <c r="D208" s="187"/>
      <c r="E208" s="187"/>
      <c r="F208" s="187"/>
      <c r="G208" s="187"/>
      <c r="H208" s="187"/>
      <c r="I208" s="225"/>
      <c r="J208" s="225"/>
      <c r="K208" s="187"/>
      <c r="L208" s="187"/>
      <c r="M208" s="226"/>
      <c r="N208" s="187"/>
      <c r="O208" s="187"/>
      <c r="P208" s="187"/>
      <c r="Q208" s="187"/>
      <c r="R208" s="187"/>
      <c r="S208" s="187"/>
      <c r="T208" s="188"/>
      <c r="U208" s="600"/>
    </row>
    <row r="209" spans="1:24" ht="17.399999999999999">
      <c r="A209" s="680"/>
      <c r="B209" s="197" t="s">
        <v>617</v>
      </c>
      <c r="C209" s="227"/>
      <c r="D209" s="188"/>
      <c r="E209" s="188"/>
      <c r="F209" s="188"/>
      <c r="G209" s="97"/>
      <c r="H209" s="97"/>
      <c r="I209" s="97"/>
      <c r="J209" s="97"/>
      <c r="K209" s="97"/>
      <c r="L209" s="97"/>
      <c r="M209" s="97"/>
      <c r="N209" s="97"/>
      <c r="O209" s="97"/>
      <c r="P209" s="97"/>
      <c r="Q209" s="97"/>
      <c r="R209" s="97"/>
      <c r="S209" s="97"/>
      <c r="T209" s="97"/>
      <c r="U209" s="602"/>
      <c r="V209" s="620"/>
    </row>
    <row r="210" spans="1:24">
      <c r="B210" s="680" t="s">
        <v>618</v>
      </c>
      <c r="C210" s="723"/>
      <c r="D210" s="578"/>
      <c r="E210" s="363"/>
      <c r="F210" s="363"/>
      <c r="G210" s="1190"/>
      <c r="H210" s="1190"/>
      <c r="I210" s="363"/>
      <c r="J210" s="363"/>
      <c r="K210" s="577"/>
      <c r="L210" s="578"/>
      <c r="M210" s="577"/>
      <c r="N210" s="363"/>
      <c r="O210" s="577"/>
      <c r="P210" s="578"/>
      <c r="Q210" s="363"/>
      <c r="R210" s="680"/>
      <c r="S210" s="680"/>
      <c r="T210" s="188"/>
      <c r="U210" s="600"/>
      <c r="V210" s="619"/>
    </row>
    <row r="211" spans="1:24">
      <c r="A211" s="680"/>
      <c r="B211" s="680" t="s">
        <v>619</v>
      </c>
      <c r="C211" s="723"/>
      <c r="D211" s="578"/>
      <c r="E211" s="723"/>
      <c r="F211" s="723"/>
      <c r="G211" s="1176"/>
      <c r="H211" s="1176"/>
      <c r="I211" s="723"/>
      <c r="J211" s="723"/>
      <c r="K211" s="578"/>
      <c r="L211" s="578"/>
      <c r="M211" s="578"/>
      <c r="N211" s="723"/>
      <c r="O211" s="578"/>
      <c r="P211" s="578"/>
      <c r="Q211" s="723"/>
      <c r="R211" s="680"/>
      <c r="S211" s="680"/>
      <c r="T211" s="188"/>
      <c r="U211" s="600"/>
      <c r="V211" s="619"/>
    </row>
    <row r="212" spans="1:24">
      <c r="A212" s="680"/>
      <c r="B212" s="680"/>
      <c r="C212" s="723"/>
      <c r="D212" s="578"/>
      <c r="E212" s="723"/>
      <c r="F212" s="723"/>
      <c r="G212" s="1176"/>
      <c r="H212" s="1176"/>
      <c r="I212" s="723"/>
      <c r="J212" s="723"/>
      <c r="K212" s="578"/>
      <c r="L212" s="578"/>
      <c r="M212" s="578"/>
      <c r="N212" s="723"/>
      <c r="O212" s="578"/>
      <c r="P212" s="578"/>
      <c r="Q212" s="723"/>
      <c r="R212" s="680"/>
      <c r="S212" s="680"/>
      <c r="T212" s="188"/>
      <c r="U212" s="600"/>
      <c r="V212" s="619"/>
    </row>
    <row r="213" spans="1:24">
      <c r="A213" s="233"/>
      <c r="B213" s="1381"/>
      <c r="C213" s="1381"/>
      <c r="D213" s="1381"/>
      <c r="E213" s="351"/>
      <c r="F213" s="351"/>
      <c r="G213" s="228">
        <f ca="1">$E$6</f>
        <v>0</v>
      </c>
      <c r="H213" s="353" t="s">
        <v>620</v>
      </c>
      <c r="I213" s="217">
        <f ca="1">_CTR_per_1</f>
        <v>0</v>
      </c>
      <c r="J213" s="234" t="s">
        <v>365</v>
      </c>
      <c r="K213" s="393" t="e">
        <f ca="1">G213/I213</f>
        <v>#DIV/0!</v>
      </c>
      <c r="L213" s="1177"/>
      <c r="M213" s="353"/>
      <c r="N213" s="351"/>
      <c r="O213" s="353"/>
      <c r="P213" s="350"/>
      <c r="Q213" s="350"/>
      <c r="R213" s="351"/>
      <c r="S213" s="1194"/>
      <c r="T213" s="680"/>
      <c r="U213" s="603" t="s">
        <v>621</v>
      </c>
      <c r="V213" s="619"/>
      <c r="W213" s="188"/>
      <c r="X213" s="188"/>
    </row>
    <row r="214" spans="1:24">
      <c r="A214" s="188"/>
      <c r="B214" s="188"/>
      <c r="C214" s="188"/>
      <c r="D214" s="188"/>
      <c r="E214" s="188"/>
      <c r="F214" s="188"/>
      <c r="G214" s="363" t="s">
        <v>622</v>
      </c>
      <c r="H214" s="188"/>
      <c r="I214" s="363" t="s">
        <v>367</v>
      </c>
      <c r="J214" s="188"/>
      <c r="K214" s="188"/>
      <c r="L214" s="188"/>
      <c r="M214" s="188"/>
      <c r="N214" s="188"/>
      <c r="O214" s="188"/>
      <c r="P214" s="188"/>
      <c r="Q214" s="188"/>
      <c r="R214" s="188"/>
      <c r="S214" s="188"/>
      <c r="T214" s="188"/>
      <c r="U214" s="600"/>
      <c r="V214" s="619"/>
      <c r="W214" s="188"/>
      <c r="X214" s="188"/>
    </row>
    <row r="215" spans="1:24">
      <c r="A215" s="188"/>
      <c r="B215" s="188"/>
      <c r="C215" s="188"/>
      <c r="D215" s="188"/>
      <c r="E215" s="188"/>
      <c r="F215" s="188"/>
      <c r="G215" s="188"/>
      <c r="H215" s="188"/>
      <c r="I215" s="188"/>
      <c r="J215" s="188"/>
      <c r="K215" s="188"/>
      <c r="L215" s="188"/>
      <c r="M215" s="188"/>
      <c r="N215" s="188"/>
      <c r="O215" s="188"/>
      <c r="P215" s="188"/>
      <c r="Q215" s="188"/>
      <c r="R215" s="188"/>
      <c r="S215" s="188"/>
      <c r="T215" s="188"/>
      <c r="U215" s="600"/>
      <c r="V215" s="619"/>
      <c r="W215" s="188"/>
      <c r="X215" s="188"/>
    </row>
    <row r="216" spans="1:24">
      <c r="A216" s="188"/>
      <c r="B216" s="188"/>
      <c r="C216" s="188"/>
      <c r="D216" s="188"/>
      <c r="E216" s="846">
        <v>0.5</v>
      </c>
      <c r="F216" s="219" t="s">
        <v>349</v>
      </c>
      <c r="G216" s="357">
        <f>K38</f>
        <v>0</v>
      </c>
      <c r="H216" s="219" t="s">
        <v>620</v>
      </c>
      <c r="I216" s="217">
        <f ca="1">_CTR_per_1</f>
        <v>0</v>
      </c>
      <c r="J216" s="219" t="s">
        <v>365</v>
      </c>
      <c r="K216" s="355" t="e">
        <f ca="1">E216*G216/I216</f>
        <v>#DIV/0!</v>
      </c>
      <c r="L216" s="1177"/>
      <c r="M216" s="188"/>
      <c r="N216" s="188"/>
      <c r="O216" s="188"/>
      <c r="P216" s="188"/>
      <c r="Q216" s="188"/>
      <c r="R216" s="188"/>
      <c r="S216" s="188"/>
      <c r="T216" s="188"/>
      <c r="U216" s="600" t="s">
        <v>623</v>
      </c>
      <c r="V216" s="619"/>
      <c r="W216" s="188"/>
      <c r="X216" s="188"/>
    </row>
    <row r="217" spans="1:24">
      <c r="A217" s="188"/>
      <c r="B217" s="188"/>
      <c r="C217" s="188"/>
      <c r="D217" s="188"/>
      <c r="E217" s="364" t="s">
        <v>544</v>
      </c>
      <c r="F217" s="188"/>
      <c r="G217" s="524" t="s">
        <v>624</v>
      </c>
      <c r="H217" s="188"/>
      <c r="I217" s="363" t="s">
        <v>367</v>
      </c>
      <c r="J217" s="188"/>
      <c r="K217" s="188"/>
      <c r="L217" s="188"/>
      <c r="M217" s="188"/>
      <c r="N217" s="188"/>
      <c r="O217" s="188"/>
      <c r="P217" s="188"/>
      <c r="Q217" s="188"/>
      <c r="R217" s="188"/>
      <c r="S217" s="188"/>
      <c r="T217" s="188"/>
      <c r="U217" s="600"/>
      <c r="V217" s="619"/>
      <c r="W217" s="188"/>
      <c r="X217" s="188"/>
    </row>
    <row r="218" spans="1:24">
      <c r="A218" s="188"/>
      <c r="B218" s="188"/>
      <c r="C218" s="188"/>
      <c r="D218" s="188"/>
      <c r="E218" s="188"/>
      <c r="F218" s="188"/>
      <c r="G218" s="188"/>
      <c r="H218" s="188"/>
      <c r="I218" s="188"/>
      <c r="J218" s="188"/>
      <c r="K218" s="188"/>
      <c r="L218" s="188"/>
      <c r="M218" s="188"/>
      <c r="N218" s="188"/>
      <c r="O218" s="188"/>
      <c r="P218" s="188"/>
      <c r="Q218" s="188"/>
      <c r="R218" s="188"/>
      <c r="S218" s="188"/>
      <c r="T218" s="188"/>
      <c r="U218" s="600"/>
      <c r="V218" s="619"/>
      <c r="W218" s="188"/>
      <c r="X218" s="188"/>
    </row>
    <row r="219" spans="1:24">
      <c r="A219" s="188"/>
      <c r="B219" s="188"/>
      <c r="C219" s="188"/>
      <c r="D219" s="188"/>
      <c r="E219" s="932">
        <f>'1) Data Entry'!E283:F283</f>
        <v>0</v>
      </c>
      <c r="F219" s="219" t="s">
        <v>349</v>
      </c>
      <c r="G219" s="217">
        <f>_Remote_Line_CTR</f>
        <v>0</v>
      </c>
      <c r="H219" s="219" t="s">
        <v>620</v>
      </c>
      <c r="I219" s="217">
        <f ca="1">_CTR_per_1</f>
        <v>0</v>
      </c>
      <c r="J219" s="201" t="s">
        <v>349</v>
      </c>
      <c r="K219" s="846">
        <v>2</v>
      </c>
      <c r="L219" s="1177" t="s">
        <v>365</v>
      </c>
      <c r="M219" s="355" t="e">
        <f ca="1">E219*G219/I219*K219</f>
        <v>#DIV/0!</v>
      </c>
      <c r="N219" s="188"/>
      <c r="O219" s="1177"/>
      <c r="P219" s="353"/>
      <c r="Q219" s="188"/>
      <c r="R219" s="188"/>
      <c r="S219" s="188"/>
      <c r="T219" s="188"/>
      <c r="U219" s="600" t="s">
        <v>625</v>
      </c>
      <c r="V219" s="619"/>
      <c r="W219" s="188"/>
      <c r="X219" s="188"/>
    </row>
    <row r="220" spans="1:24" ht="12" customHeight="1">
      <c r="A220" s="188"/>
      <c r="B220" s="188"/>
      <c r="C220" s="188"/>
      <c r="D220" s="188"/>
      <c r="E220" s="365" t="s">
        <v>626</v>
      </c>
      <c r="F220" s="188"/>
      <c r="G220" s="363" t="s">
        <v>627</v>
      </c>
      <c r="H220" s="188"/>
      <c r="I220" s="363" t="s">
        <v>628</v>
      </c>
      <c r="J220" s="188"/>
      <c r="K220" s="364" t="s">
        <v>544</v>
      </c>
      <c r="L220" s="188"/>
      <c r="M220" s="188"/>
      <c r="N220" s="188"/>
      <c r="O220" s="188"/>
      <c r="P220" s="188"/>
      <c r="Q220" s="188"/>
      <c r="R220" s="188"/>
      <c r="S220" s="220" t="s">
        <v>26</v>
      </c>
      <c r="T220" s="188"/>
      <c r="U220" s="600"/>
      <c r="V220" s="619"/>
      <c r="W220" s="188"/>
      <c r="X220" s="188"/>
    </row>
    <row r="221" spans="1:24">
      <c r="A221" s="188"/>
      <c r="B221" s="188"/>
      <c r="C221" s="188"/>
      <c r="D221" s="188"/>
      <c r="E221" s="197"/>
      <c r="F221" s="188"/>
      <c r="G221" s="188"/>
      <c r="H221" s="188"/>
      <c r="I221" s="188"/>
      <c r="J221" s="188"/>
      <c r="K221" s="188"/>
      <c r="L221" s="188"/>
      <c r="M221" s="188"/>
      <c r="N221" s="188"/>
      <c r="P221" s="188"/>
      <c r="Q221" s="348" t="s">
        <v>629</v>
      </c>
      <c r="R221" s="199" t="s">
        <v>378</v>
      </c>
      <c r="S221" s="369" t="e">
        <f ca="1">IF(K223="",K222,K223)</f>
        <v>#DIV/0!</v>
      </c>
      <c r="T221" s="680" t="s">
        <v>69</v>
      </c>
      <c r="U221" s="600" t="s">
        <v>630</v>
      </c>
      <c r="V221" s="619"/>
      <c r="W221" s="188"/>
      <c r="X221" s="188"/>
    </row>
    <row r="222" spans="1:24" ht="15.75" customHeight="1">
      <c r="A222" s="188"/>
      <c r="B222" s="188"/>
      <c r="C222" s="188"/>
      <c r="D222" s="188"/>
      <c r="E222" s="188"/>
      <c r="F222" s="188"/>
      <c r="G222" s="188"/>
      <c r="H222" s="188"/>
      <c r="I222" s="202" t="s">
        <v>631</v>
      </c>
      <c r="J222" s="219" t="s">
        <v>365</v>
      </c>
      <c r="K222" s="368" t="e">
        <f ca="1">MAX(M219,MIN(K216,K213))</f>
        <v>#DIV/0!</v>
      </c>
      <c r="L222" s="188" t="s">
        <v>632</v>
      </c>
      <c r="M222" s="230"/>
      <c r="N222" s="188"/>
      <c r="P222" s="188"/>
      <c r="Q222" s="348"/>
      <c r="R222" s="188"/>
      <c r="S222" s="1803" t="e">
        <f ca="1">IF(_50G2P&lt;0.6, "Directional elements in SEL relays will not work properly if the current in the relay is lower than 0.6 amps (0.6 for SEL-421 and 0.5 for SEL-311C)","")</f>
        <v>#DIV/0!</v>
      </c>
      <c r="T222" s="1803"/>
      <c r="U222" s="1803"/>
      <c r="V222" s="1803"/>
      <c r="W222" s="1803"/>
      <c r="X222" s="188"/>
    </row>
    <row r="223" spans="1:24" ht="24.75" customHeight="1">
      <c r="A223" s="188"/>
      <c r="B223" s="188"/>
      <c r="C223" s="188"/>
      <c r="D223" s="188"/>
      <c r="E223" s="188"/>
      <c r="F223" s="188"/>
      <c r="G223" s="188"/>
      <c r="H223" s="188"/>
      <c r="I223" s="236" t="s">
        <v>573</v>
      </c>
      <c r="J223" s="47" t="s">
        <v>378</v>
      </c>
      <c r="K223" s="146"/>
      <c r="L223" s="188"/>
      <c r="M223" s="188"/>
      <c r="N223" s="188"/>
      <c r="O223" s="237"/>
      <c r="P223" s="188"/>
      <c r="Q223" s="188"/>
      <c r="R223" s="188"/>
      <c r="S223" s="1803"/>
      <c r="T223" s="1803"/>
      <c r="U223" s="1803"/>
      <c r="V223" s="1803"/>
      <c r="W223" s="1803"/>
      <c r="X223" s="188"/>
    </row>
    <row r="224" spans="1:24">
      <c r="A224" s="188"/>
      <c r="B224" s="188"/>
      <c r="C224" s="188"/>
      <c r="D224" s="188"/>
      <c r="E224" s="188"/>
      <c r="F224" s="188"/>
      <c r="G224" s="188"/>
      <c r="H224" s="188"/>
      <c r="I224" s="236"/>
      <c r="J224" s="47"/>
      <c r="K224" s="390"/>
      <c r="L224" s="188"/>
      <c r="M224" s="188"/>
      <c r="N224" s="188"/>
      <c r="O224" s="237"/>
      <c r="P224" s="188"/>
      <c r="Q224" s="188"/>
      <c r="R224" s="188"/>
      <c r="S224" s="188"/>
      <c r="T224" s="188"/>
      <c r="U224" s="600"/>
      <c r="V224" s="619"/>
      <c r="W224" s="188"/>
      <c r="X224" s="188"/>
    </row>
    <row r="225" spans="1:24">
      <c r="A225" s="188"/>
      <c r="B225" s="188"/>
      <c r="C225" s="188"/>
      <c r="D225" s="188"/>
      <c r="E225" s="846">
        <v>0.5</v>
      </c>
      <c r="F225" s="350" t="s">
        <v>349</v>
      </c>
      <c r="G225" s="393" t="e">
        <f ca="1">S221</f>
        <v>#DIV/0!</v>
      </c>
      <c r="H225" s="350" t="s">
        <v>349</v>
      </c>
      <c r="I225" s="394">
        <f ca="1">_CTR_per_1</f>
        <v>0</v>
      </c>
      <c r="J225" s="392" t="s">
        <v>620</v>
      </c>
      <c r="K225" s="847">
        <f>_Remote_Line_CTR</f>
        <v>0</v>
      </c>
      <c r="L225" s="199" t="s">
        <v>365</v>
      </c>
      <c r="M225" s="395" t="e">
        <f ca="1">E225*G225*I225/K225</f>
        <v>#DIV/0!</v>
      </c>
      <c r="N225" s="1798" t="e">
        <f ca="1">IF(M225&lt;0.5,"Warning - Less than 0.5 A on remote end.","OK - Greater than 0.5 A on remote end.")</f>
        <v>#DIV/0!</v>
      </c>
      <c r="O225" s="1798"/>
      <c r="P225" s="1798"/>
      <c r="Q225" s="1798"/>
      <c r="R225" s="1798"/>
      <c r="S225" s="1798"/>
      <c r="T225" s="188"/>
      <c r="U225" s="599" t="s">
        <v>633</v>
      </c>
      <c r="V225" s="619"/>
      <c r="W225" s="188"/>
      <c r="X225" s="188"/>
    </row>
    <row r="226" spans="1:24">
      <c r="A226" s="188"/>
      <c r="B226" s="188"/>
      <c r="C226" s="188"/>
      <c r="D226" s="188"/>
      <c r="E226" s="391"/>
      <c r="F226" s="350"/>
      <c r="G226" s="363" t="s">
        <v>634</v>
      </c>
      <c r="H226" s="350"/>
      <c r="I226" s="363" t="s">
        <v>628</v>
      </c>
      <c r="J226" s="392"/>
      <c r="K226" s="363" t="s">
        <v>627</v>
      </c>
      <c r="L226" s="199"/>
      <c r="M226" s="188"/>
      <c r="N226" s="188"/>
      <c r="O226" s="237"/>
      <c r="P226" s="188"/>
      <c r="Q226" s="188"/>
      <c r="R226" s="188"/>
      <c r="S226" s="188"/>
      <c r="T226" s="188"/>
      <c r="U226" s="600"/>
      <c r="V226" s="619"/>
      <c r="W226" s="188"/>
      <c r="X226" s="188"/>
    </row>
    <row r="227" spans="1:24">
      <c r="A227" s="188"/>
      <c r="B227" s="188"/>
      <c r="C227" s="188"/>
      <c r="D227" s="188"/>
      <c r="E227" s="188"/>
      <c r="F227" s="188"/>
      <c r="G227" s="188"/>
      <c r="H227" s="188"/>
      <c r="I227" s="202"/>
      <c r="J227" s="199"/>
      <c r="K227" s="232"/>
      <c r="L227" s="188"/>
      <c r="M227" s="188"/>
      <c r="N227" s="188"/>
      <c r="O227" s="188"/>
      <c r="P227" s="188"/>
      <c r="Q227" s="188"/>
      <c r="R227" s="188"/>
      <c r="S227" s="188"/>
      <c r="T227" s="188"/>
      <c r="U227" s="600"/>
      <c r="V227" s="619"/>
      <c r="W227" s="188"/>
      <c r="X227" s="188"/>
    </row>
    <row r="228" spans="1:24" ht="15.75" customHeight="1">
      <c r="A228" s="188"/>
      <c r="B228" s="188" t="s">
        <v>635</v>
      </c>
      <c r="C228" s="188"/>
      <c r="D228" s="188"/>
      <c r="E228" s="188"/>
      <c r="F228" s="188"/>
      <c r="G228" s="188"/>
      <c r="H228" s="188"/>
      <c r="I228" s="202"/>
      <c r="J228" s="199"/>
      <c r="K228" s="232"/>
      <c r="L228" s="188"/>
      <c r="M228" s="188"/>
      <c r="N228" s="188"/>
      <c r="O228" s="188"/>
      <c r="P228" s="188"/>
      <c r="Q228" s="188"/>
      <c r="R228" s="188"/>
      <c r="S228" s="188"/>
      <c r="T228" s="188"/>
      <c r="U228" s="600"/>
      <c r="V228" s="619"/>
      <c r="W228" s="188"/>
      <c r="X228" s="188"/>
    </row>
    <row r="229" spans="1:24">
      <c r="A229" s="188"/>
      <c r="B229" s="188"/>
      <c r="C229" s="188"/>
      <c r="D229" s="188"/>
      <c r="E229" s="197"/>
      <c r="F229" s="188"/>
      <c r="G229" s="188"/>
      <c r="H229" s="188"/>
      <c r="I229" s="188"/>
      <c r="J229" s="188"/>
      <c r="K229" s="188"/>
      <c r="L229" s="188"/>
      <c r="M229" s="188"/>
      <c r="N229" s="188"/>
      <c r="P229" s="188"/>
      <c r="Q229" s="188"/>
      <c r="R229" s="188"/>
      <c r="S229" s="220" t="s">
        <v>26</v>
      </c>
      <c r="T229" s="188"/>
      <c r="U229" s="600"/>
      <c r="V229" s="619"/>
      <c r="W229" s="188"/>
      <c r="X229" s="188"/>
    </row>
    <row r="230" spans="1:24">
      <c r="A230" s="188"/>
      <c r="B230" s="188"/>
      <c r="C230" s="1195"/>
      <c r="D230" s="188"/>
      <c r="E230" s="188"/>
      <c r="F230" s="188"/>
      <c r="G230" s="188"/>
      <c r="H230" s="188"/>
      <c r="I230" s="202" t="s">
        <v>636</v>
      </c>
      <c r="J230" s="219" t="s">
        <v>365</v>
      </c>
      <c r="K230" s="1196">
        <v>0.5</v>
      </c>
      <c r="L230" s="188" t="s">
        <v>632</v>
      </c>
      <c r="M230" s="230"/>
      <c r="N230" s="188"/>
      <c r="P230" s="188"/>
      <c r="Q230" s="348" t="s">
        <v>637</v>
      </c>
      <c r="R230" s="199" t="s">
        <v>378</v>
      </c>
      <c r="S230" s="369">
        <f>IF(K231="",K230,K231)</f>
        <v>0.5</v>
      </c>
      <c r="T230" s="680" t="s">
        <v>69</v>
      </c>
      <c r="U230" s="599" t="s">
        <v>638</v>
      </c>
      <c r="V230" s="619"/>
      <c r="W230" s="188"/>
      <c r="X230" s="188"/>
    </row>
    <row r="231" spans="1:24">
      <c r="A231" s="771" t="s">
        <v>639</v>
      </c>
      <c r="B231" s="188"/>
      <c r="C231" s="235"/>
      <c r="D231" s="188"/>
      <c r="E231" s="188"/>
      <c r="F231" s="188"/>
      <c r="G231" s="188"/>
      <c r="H231" s="188"/>
      <c r="I231" s="236"/>
      <c r="J231" s="47"/>
      <c r="K231" s="390"/>
      <c r="L231" s="188"/>
      <c r="M231" s="188"/>
      <c r="N231" s="188"/>
      <c r="O231" s="237"/>
      <c r="P231" s="188"/>
      <c r="Q231" s="348"/>
      <c r="R231" s="188"/>
      <c r="S231" s="188"/>
      <c r="T231" s="188"/>
      <c r="U231" s="600"/>
      <c r="V231" s="619"/>
      <c r="W231" s="188"/>
      <c r="X231" s="188"/>
    </row>
    <row r="232" spans="1:24">
      <c r="A232" s="224"/>
      <c r="B232" s="187"/>
      <c r="C232" s="187"/>
      <c r="D232" s="187"/>
      <c r="E232" s="187"/>
      <c r="F232" s="187"/>
      <c r="G232" s="187"/>
      <c r="H232" s="187"/>
      <c r="I232" s="225"/>
      <c r="J232" s="225"/>
      <c r="K232" s="187"/>
      <c r="L232" s="187"/>
      <c r="M232" s="226"/>
      <c r="N232" s="187"/>
      <c r="O232" s="187"/>
      <c r="P232" s="187"/>
      <c r="Q232" s="187"/>
      <c r="R232" s="187"/>
      <c r="S232" s="187"/>
      <c r="T232" s="405"/>
      <c r="U232" s="600"/>
    </row>
    <row r="233" spans="1:24" ht="12.75" customHeight="1">
      <c r="A233" s="680"/>
      <c r="B233" s="197" t="s">
        <v>640</v>
      </c>
      <c r="C233" s="227"/>
      <c r="D233" s="188"/>
      <c r="E233" s="188"/>
      <c r="F233" s="188"/>
      <c r="G233" s="97"/>
      <c r="H233" s="97"/>
      <c r="I233" s="97"/>
      <c r="J233" s="97"/>
      <c r="K233" s="97"/>
      <c r="L233" s="97"/>
      <c r="M233" s="578"/>
      <c r="N233" s="723"/>
      <c r="O233" s="578"/>
      <c r="P233" s="578"/>
      <c r="Q233" s="723"/>
      <c r="R233" s="680"/>
      <c r="S233" s="680"/>
      <c r="T233" s="199"/>
      <c r="U233" s="603"/>
    </row>
    <row r="234" spans="1:24" ht="12.75" customHeight="1">
      <c r="A234" s="680"/>
      <c r="B234" s="1802" t="s">
        <v>641</v>
      </c>
      <c r="C234" s="1802"/>
      <c r="D234" s="1802"/>
      <c r="E234" s="1802"/>
      <c r="F234" s="1802"/>
      <c r="G234" s="1802"/>
      <c r="H234" s="1802"/>
      <c r="I234" s="1802"/>
      <c r="J234" s="1802"/>
      <c r="K234" s="1802"/>
      <c r="L234" s="1802"/>
      <c r="M234" s="1802"/>
      <c r="N234" s="1802"/>
      <c r="O234" s="1802"/>
      <c r="P234" s="1802"/>
      <c r="Q234" s="1802"/>
      <c r="R234" s="1802"/>
      <c r="S234" s="1802"/>
      <c r="T234" s="1802"/>
      <c r="U234" s="1802"/>
      <c r="V234" s="1802"/>
    </row>
    <row r="235" spans="1:24" ht="12.75" customHeight="1">
      <c r="A235" s="680"/>
      <c r="B235" s="1802"/>
      <c r="C235" s="1802"/>
      <c r="D235" s="1802"/>
      <c r="E235" s="1802"/>
      <c r="F235" s="1802"/>
      <c r="G235" s="1802"/>
      <c r="H235" s="1802"/>
      <c r="I235" s="1802"/>
      <c r="J235" s="1802"/>
      <c r="K235" s="1802"/>
      <c r="L235" s="1802"/>
      <c r="M235" s="1802"/>
      <c r="N235" s="1802"/>
      <c r="O235" s="1802"/>
      <c r="P235" s="1802"/>
      <c r="Q235" s="1802"/>
      <c r="R235" s="1802"/>
      <c r="S235" s="1802"/>
      <c r="T235" s="1802"/>
      <c r="U235" s="1802"/>
      <c r="V235" s="1802"/>
    </row>
    <row r="236" spans="1:24" ht="12.75" customHeight="1">
      <c r="A236" s="680"/>
      <c r="B236" s="1384"/>
      <c r="C236" s="1384"/>
      <c r="D236" s="1384"/>
      <c r="E236" s="1384"/>
      <c r="F236" s="1384"/>
      <c r="G236" s="1384"/>
      <c r="H236" s="1384"/>
      <c r="I236" s="1384"/>
      <c r="J236" s="1384"/>
      <c r="K236" s="1384"/>
      <c r="L236" s="1384"/>
      <c r="M236" s="1384"/>
      <c r="N236" s="1384"/>
      <c r="O236" s="1384"/>
      <c r="P236" s="1384"/>
      <c r="Q236" s="348"/>
      <c r="R236" s="1384"/>
      <c r="S236" s="220" t="s">
        <v>26</v>
      </c>
      <c r="T236" s="1384"/>
      <c r="U236" s="1384"/>
      <c r="V236" s="1384"/>
    </row>
    <row r="237" spans="1:24" ht="12.75" customHeight="1">
      <c r="A237" s="680"/>
      <c r="C237" s="769" t="s">
        <v>642</v>
      </c>
      <c r="D237" s="1384"/>
      <c r="E237" s="148" t="s">
        <v>643</v>
      </c>
      <c r="G237" s="188"/>
      <c r="H237" s="719"/>
      <c r="I237" s="617"/>
      <c r="J237" s="1384"/>
      <c r="K237" s="1384"/>
      <c r="L237" s="1384"/>
      <c r="M237" s="1384"/>
      <c r="N237" s="1384"/>
      <c r="O237" s="1384"/>
      <c r="P237" s="1384"/>
      <c r="Q237" s="348" t="s">
        <v>644</v>
      </c>
      <c r="R237" s="199" t="s">
        <v>378</v>
      </c>
      <c r="S237" s="758">
        <f>IF(E237="Disable (0)",0,1)</f>
        <v>0</v>
      </c>
      <c r="T237" s="1384"/>
      <c r="U237" s="599" t="s">
        <v>645</v>
      </c>
      <c r="V237" s="1384"/>
    </row>
    <row r="238" spans="1:24" ht="12.75" customHeight="1">
      <c r="A238" s="680"/>
      <c r="C238" s="769"/>
      <c r="D238" s="1384"/>
      <c r="E238" s="680" t="s">
        <v>646</v>
      </c>
      <c r="F238" s="680"/>
      <c r="G238" s="188"/>
      <c r="H238" s="719"/>
      <c r="I238" s="617"/>
      <c r="J238" s="1384"/>
      <c r="K238" s="1384"/>
      <c r="L238" s="1384"/>
      <c r="M238" s="1384"/>
      <c r="N238" s="1384"/>
      <c r="O238" s="1384"/>
      <c r="P238" s="1384"/>
      <c r="Q238" s="348"/>
      <c r="R238" s="199"/>
      <c r="S238" s="770"/>
      <c r="T238" s="1384"/>
      <c r="U238" s="1384"/>
      <c r="V238" s="1384"/>
    </row>
    <row r="239" spans="1:24">
      <c r="B239" s="358" t="s">
        <v>647</v>
      </c>
      <c r="C239" s="723"/>
      <c r="D239" s="578"/>
      <c r="E239" s="363"/>
      <c r="F239" s="363"/>
      <c r="G239" s="1190"/>
      <c r="H239" s="1190"/>
      <c r="I239" s="363"/>
      <c r="J239" s="363"/>
      <c r="K239" s="577"/>
      <c r="L239" s="578"/>
      <c r="M239" s="578"/>
      <c r="N239" s="723"/>
      <c r="O239" s="578"/>
      <c r="P239" s="578"/>
      <c r="Q239" s="723"/>
      <c r="R239" s="680"/>
      <c r="U239" s="64"/>
      <c r="V239" s="64"/>
    </row>
    <row r="240" spans="1:24">
      <c r="A240" s="680"/>
      <c r="B240" s="358" t="s">
        <v>648</v>
      </c>
      <c r="C240" s="723"/>
      <c r="D240" s="578"/>
      <c r="E240" s="723"/>
      <c r="F240" s="723"/>
      <c r="G240" s="1176"/>
      <c r="H240" s="1176"/>
      <c r="I240" s="723"/>
      <c r="J240" s="723"/>
      <c r="K240" s="578"/>
      <c r="L240" s="578"/>
      <c r="M240" s="353"/>
      <c r="N240" s="351"/>
      <c r="O240" s="353"/>
      <c r="P240" s="350"/>
      <c r="Q240" s="350"/>
      <c r="R240" s="351"/>
      <c r="S240" s="1194"/>
    </row>
    <row r="241" spans="1:21" ht="16.2" thickBot="1">
      <c r="A241" s="680"/>
      <c r="B241" s="680"/>
      <c r="C241" s="723"/>
      <c r="D241" s="578"/>
      <c r="E241" s="723"/>
      <c r="F241" s="723"/>
      <c r="G241" s="1176"/>
      <c r="H241" s="1176"/>
      <c r="I241" s="723"/>
      <c r="J241" s="723"/>
      <c r="K241" s="578"/>
      <c r="L241" s="578"/>
      <c r="M241" s="1797" t="s">
        <v>429</v>
      </c>
      <c r="N241" s="1797"/>
      <c r="O241" s="1797"/>
      <c r="P241" s="1797"/>
      <c r="Q241" s="1797"/>
      <c r="R241" s="1797"/>
      <c r="S241" s="1797"/>
    </row>
    <row r="242" spans="1:21">
      <c r="A242" s="233"/>
      <c r="B242" s="1794" t="s">
        <v>421</v>
      </c>
      <c r="C242" s="1795"/>
      <c r="D242" s="1795"/>
      <c r="E242" s="1796"/>
      <c r="F242" s="206"/>
      <c r="G242" s="207" t="s">
        <v>390</v>
      </c>
      <c r="H242" s="206"/>
      <c r="I242" s="207" t="s">
        <v>418</v>
      </c>
      <c r="J242" s="208"/>
      <c r="K242" s="209" t="s">
        <v>381</v>
      </c>
      <c r="L242" s="350"/>
    </row>
    <row r="243" spans="1:21">
      <c r="A243" s="188"/>
      <c r="B243" s="1791" t="s">
        <v>649</v>
      </c>
      <c r="C243" s="1792"/>
      <c r="D243" s="1792"/>
      <c r="E243" s="1793"/>
      <c r="F243" s="210"/>
      <c r="G243" s="1101"/>
      <c r="H243" s="210"/>
      <c r="I243" s="1101"/>
      <c r="J243" s="210"/>
      <c r="K243" s="1102"/>
      <c r="L243" s="1197" t="s">
        <v>650</v>
      </c>
      <c r="M243" s="371" t="e">
        <f ca="1">G245/I245</f>
        <v>#DIV/0!</v>
      </c>
      <c r="N243" s="219" t="s">
        <v>365</v>
      </c>
      <c r="O243" s="355" t="e">
        <f ca="1">M243*K245</f>
        <v>#DIV/0!</v>
      </c>
      <c r="P243"/>
      <c r="Q243"/>
      <c r="R243" s="1198"/>
      <c r="S243" s="223"/>
      <c r="U243" s="599" t="s">
        <v>651</v>
      </c>
    </row>
    <row r="244" spans="1:21">
      <c r="A244" s="188"/>
      <c r="B244" s="188"/>
      <c r="C244" s="188"/>
      <c r="D244" s="188"/>
      <c r="M244" s="363" t="s">
        <v>652</v>
      </c>
      <c r="N244" s="363"/>
      <c r="O244" s="363" t="s">
        <v>653</v>
      </c>
      <c r="P244" s="188"/>
      <c r="Q244" s="1176"/>
      <c r="R244" s="1176"/>
      <c r="S244" s="723"/>
    </row>
    <row r="245" spans="1:21">
      <c r="A245" s="188"/>
      <c r="B245" s="1381"/>
      <c r="C245" s="202" t="str">
        <f>100*E245&amp;"% Min Fault amps secondary"</f>
        <v>80% Min Fault amps secondary</v>
      </c>
      <c r="D245" s="199" t="s">
        <v>535</v>
      </c>
      <c r="E245" s="848">
        <v>0.8</v>
      </c>
      <c r="F245" s="201" t="s">
        <v>536</v>
      </c>
      <c r="G245" s="216">
        <f>MIN(G243,I243,K243)</f>
        <v>0</v>
      </c>
      <c r="H245" s="1199" t="s">
        <v>537</v>
      </c>
      <c r="I245" s="217">
        <f ca="1">_CTR_per_1</f>
        <v>0</v>
      </c>
      <c r="J245" s="219" t="s">
        <v>365</v>
      </c>
      <c r="K245" s="372">
        <f>E245</f>
        <v>0.8</v>
      </c>
      <c r="L245" s="188" t="s">
        <v>536</v>
      </c>
      <c r="M245" s="363"/>
      <c r="N245" s="363"/>
      <c r="O245" s="577"/>
      <c r="P245" s="188"/>
      <c r="Q245" s="1176"/>
      <c r="R245" s="1176"/>
      <c r="S245" s="723"/>
      <c r="U245" s="599" t="s">
        <v>654</v>
      </c>
    </row>
    <row r="246" spans="1:21">
      <c r="A246" s="188"/>
      <c r="B246" s="188"/>
      <c r="C246" s="363"/>
      <c r="D246" s="577"/>
      <c r="E246" s="364" t="s">
        <v>544</v>
      </c>
      <c r="F246" s="363"/>
      <c r="G246" s="524" t="s">
        <v>655</v>
      </c>
      <c r="H246" s="1190"/>
      <c r="I246" s="577" t="s">
        <v>545</v>
      </c>
      <c r="J246" s="363"/>
      <c r="K246" s="364" t="s">
        <v>544</v>
      </c>
      <c r="L246" s="577"/>
      <c r="M246" s="1398"/>
      <c r="N246" s="1398"/>
      <c r="O246" s="1398"/>
      <c r="P246" s="1398"/>
      <c r="Q246" s="1398"/>
      <c r="R246" s="188"/>
      <c r="S246" s="220" t="s">
        <v>26</v>
      </c>
    </row>
    <row r="247" spans="1:21" ht="16.5" customHeight="1">
      <c r="B247" s="188"/>
      <c r="C247" s="363"/>
      <c r="D247" s="577"/>
      <c r="E247" s="364"/>
      <c r="F247" s="363"/>
      <c r="G247" s="524"/>
      <c r="H247" s="1190"/>
      <c r="I247" s="577"/>
      <c r="J247" s="363"/>
      <c r="K247" s="364"/>
      <c r="L247" s="577"/>
      <c r="N247" s="188"/>
      <c r="O247" s="188"/>
      <c r="P247" s="188"/>
      <c r="Q247" s="1381" t="s">
        <v>656</v>
      </c>
      <c r="R247" s="199" t="s">
        <v>378</v>
      </c>
      <c r="S247" s="367" t="e">
        <f ca="1">IF(K250=0,K249,K250)</f>
        <v>#DIV/0!</v>
      </c>
      <c r="U247" s="599" t="s">
        <v>657</v>
      </c>
    </row>
    <row r="248" spans="1:21" ht="12.75" customHeight="1">
      <c r="B248" s="188"/>
      <c r="C248" s="363"/>
      <c r="D248" s="577"/>
      <c r="E248" s="1200"/>
      <c r="F248" s="363"/>
      <c r="G248" s="1190"/>
      <c r="H248" s="1190"/>
      <c r="I248" s="577"/>
      <c r="J248" s="363"/>
      <c r="K248" s="1398" t="e">
        <f ca="1">IF(O243&lt;0.5,"Note:  Min fault current is below 0.5 A sec.","")</f>
        <v>#DIV/0!</v>
      </c>
      <c r="L248" s="1398"/>
      <c r="M248" s="188"/>
      <c r="N248" s="188"/>
      <c r="O248" s="188"/>
      <c r="P248" s="188"/>
    </row>
    <row r="249" spans="1:21">
      <c r="I249" s="229"/>
      <c r="K249" s="522" t="e">
        <f ca="1">IF(O243&lt;2.5,2.5,MIN(5,O243))</f>
        <v>#DIV/0!</v>
      </c>
      <c r="L249" s="188" t="s">
        <v>69</v>
      </c>
      <c r="U249" s="599" t="s">
        <v>658</v>
      </c>
    </row>
    <row r="250" spans="1:21">
      <c r="G250" s="103"/>
      <c r="H250" s="103"/>
      <c r="I250" s="103" t="s">
        <v>573</v>
      </c>
      <c r="J250" s="47" t="s">
        <v>378</v>
      </c>
      <c r="K250" s="849"/>
      <c r="L250"/>
    </row>
    <row r="253" spans="1:21">
      <c r="B253" s="771" t="s">
        <v>659</v>
      </c>
      <c r="C253" s="771"/>
      <c r="D253" s="771"/>
      <c r="E253" s="771"/>
      <c r="F253" s="771"/>
      <c r="G253" s="771"/>
      <c r="H253" s="771"/>
    </row>
    <row r="260" spans="1:21">
      <c r="A260" s="224"/>
      <c r="B260" s="833" t="s">
        <v>660</v>
      </c>
      <c r="C260" s="187"/>
      <c r="D260" s="187"/>
      <c r="E260" s="187"/>
      <c r="F260" s="187"/>
      <c r="G260" s="187"/>
      <c r="H260" s="187"/>
      <c r="I260" s="225"/>
      <c r="J260" s="225"/>
      <c r="K260" s="187"/>
      <c r="L260" s="187"/>
      <c r="M260" s="226"/>
      <c r="N260" s="187"/>
      <c r="O260" s="187"/>
      <c r="P260" s="187"/>
      <c r="Q260" s="187"/>
      <c r="R260" s="187"/>
      <c r="S260" s="187"/>
      <c r="T260" s="405"/>
      <c r="U260" s="600"/>
    </row>
    <row r="262" spans="1:21">
      <c r="A262" s="248" t="s">
        <v>661</v>
      </c>
    </row>
    <row r="263" spans="1:21">
      <c r="A263" s="248" t="s">
        <v>662</v>
      </c>
    </row>
    <row r="264" spans="1:21">
      <c r="A264" s="252"/>
      <c r="B264" s="252" t="s">
        <v>663</v>
      </c>
    </row>
    <row r="272" spans="1:21">
      <c r="A272" s="248" t="s">
        <v>664</v>
      </c>
    </row>
    <row r="273" spans="1:36">
      <c r="B273" s="252" t="s">
        <v>665</v>
      </c>
    </row>
    <row r="282" spans="1:36">
      <c r="A282" s="248" t="s">
        <v>666</v>
      </c>
    </row>
    <row r="283" spans="1:36">
      <c r="A283" s="248" t="s">
        <v>667</v>
      </c>
    </row>
    <row r="284" spans="1:36">
      <c r="B284" s="252" t="s">
        <v>668</v>
      </c>
      <c r="AG284" s="65"/>
      <c r="AH284" s="65"/>
      <c r="AI284" s="65"/>
      <c r="AJ284" s="65"/>
    </row>
    <row r="285" spans="1:36">
      <c r="AF285" s="692"/>
      <c r="AG285" s="698"/>
      <c r="AH285" s="698"/>
      <c r="AI285" s="698"/>
      <c r="AJ285" s="698"/>
    </row>
    <row r="286" spans="1:36">
      <c r="AF286" s="692"/>
      <c r="AG286" s="695"/>
      <c r="AH286" s="696"/>
      <c r="AI286" s="696"/>
      <c r="AJ286" s="696"/>
    </row>
    <row r="287" spans="1:36">
      <c r="AF287" s="692"/>
      <c r="AG287" s="695"/>
      <c r="AH287" s="696"/>
      <c r="AI287" s="696"/>
      <c r="AJ287" s="696"/>
    </row>
    <row r="288" spans="1:36">
      <c r="AG288" s="697"/>
      <c r="AH288" s="86"/>
      <c r="AI288" s="86"/>
      <c r="AJ288" s="86"/>
    </row>
    <row r="289" spans="1:36">
      <c r="AG289" s="697"/>
      <c r="AH289" s="86"/>
      <c r="AI289" s="86"/>
      <c r="AJ289" s="86"/>
    </row>
    <row r="290" spans="1:36">
      <c r="AG290" s="697"/>
      <c r="AH290" s="86"/>
      <c r="AI290" s="86"/>
      <c r="AJ290" s="86"/>
    </row>
    <row r="291" spans="1:36">
      <c r="AG291" s="694"/>
    </row>
    <row r="293" spans="1:36">
      <c r="A293" s="248" t="s">
        <v>669</v>
      </c>
    </row>
    <row r="294" spans="1:36">
      <c r="B294" s="252" t="s">
        <v>670</v>
      </c>
    </row>
    <row r="302" spans="1:36">
      <c r="A302" s="248" t="s">
        <v>671</v>
      </c>
    </row>
    <row r="303" spans="1:36" ht="15.75" customHeight="1">
      <c r="B303" s="1787" t="s">
        <v>672</v>
      </c>
      <c r="C303" s="1787"/>
      <c r="D303" s="1787"/>
      <c r="E303" s="1787"/>
      <c r="F303" s="1787"/>
      <c r="G303" s="1787"/>
      <c r="H303" s="1787"/>
      <c r="I303" s="1787"/>
      <c r="J303" s="1787"/>
      <c r="K303" s="1787"/>
      <c r="L303" s="1787"/>
      <c r="M303" s="1787"/>
      <c r="N303" s="1787"/>
      <c r="O303" s="1787"/>
      <c r="P303" s="1787"/>
      <c r="Q303" s="1787"/>
      <c r="R303" s="1787"/>
      <c r="S303" s="1787"/>
      <c r="T303" s="1787"/>
      <c r="U303" s="1787"/>
      <c r="V303" s="1787"/>
    </row>
    <row r="304" spans="1:36" ht="15.75" customHeight="1">
      <c r="B304" s="1787"/>
      <c r="C304" s="1787"/>
      <c r="D304" s="1787"/>
      <c r="E304" s="1787"/>
      <c r="F304" s="1787"/>
      <c r="G304" s="1787"/>
      <c r="H304" s="1787"/>
      <c r="I304" s="1787"/>
      <c r="J304" s="1787"/>
      <c r="K304" s="1787"/>
      <c r="L304" s="1787"/>
      <c r="M304" s="1787"/>
      <c r="N304" s="1787"/>
      <c r="O304" s="1787"/>
      <c r="P304" s="1787"/>
      <c r="Q304" s="1787"/>
      <c r="R304" s="1787"/>
      <c r="S304" s="1787"/>
      <c r="T304" s="1787"/>
      <c r="U304" s="1787"/>
      <c r="V304" s="1787"/>
    </row>
    <row r="305" spans="1:22" ht="15.75" customHeight="1">
      <c r="B305" s="1382"/>
      <c r="C305" s="1382"/>
      <c r="D305" s="1382"/>
      <c r="E305" s="1382"/>
      <c r="F305" s="1382"/>
      <c r="G305" s="1382"/>
      <c r="H305" s="1382"/>
      <c r="I305" s="1382"/>
      <c r="J305" s="1382"/>
      <c r="K305" s="1382"/>
      <c r="L305" s="1382"/>
      <c r="M305" s="1382"/>
      <c r="N305" s="1382"/>
      <c r="O305" s="1382"/>
      <c r="P305" s="1382"/>
      <c r="Q305" s="1382"/>
      <c r="R305" s="1382"/>
      <c r="S305" s="1382"/>
      <c r="T305" s="1382"/>
      <c r="U305" s="1382"/>
      <c r="V305" s="1382"/>
    </row>
    <row r="314" spans="1:22" ht="16.5" customHeight="1"/>
    <row r="315" spans="1:22" ht="16.5" customHeight="1"/>
    <row r="316" spans="1:22">
      <c r="A316" s="252" t="s">
        <v>673</v>
      </c>
    </row>
    <row r="317" spans="1:22">
      <c r="A317" s="694"/>
    </row>
    <row r="318" spans="1:22">
      <c r="A318" s="694"/>
    </row>
    <row r="343" spans="1:26">
      <c r="A343" s="694" t="s">
        <v>674</v>
      </c>
    </row>
    <row r="348" spans="1:26">
      <c r="Y348" s="751" t="s">
        <v>502</v>
      </c>
      <c r="Z348" s="752" t="e">
        <f ca="1">76*E10*E10/(SQRT(3)*E10*G26)</f>
        <v>#DIV/0!</v>
      </c>
    </row>
    <row r="349" spans="1:26">
      <c r="Y349" s="751" t="s">
        <v>507</v>
      </c>
      <c r="Z349" s="752" t="e">
        <f>440*E118/G26</f>
        <v>#DIV/0!</v>
      </c>
    </row>
    <row r="350" spans="1:26">
      <c r="Y350" s="751" t="s">
        <v>516</v>
      </c>
      <c r="Z350" s="752" t="e">
        <f>8750*E118/(G26)^1.4</f>
        <v>#DIV/0!</v>
      </c>
    </row>
    <row r="351" spans="1:26">
      <c r="Y351" s="751" t="s">
        <v>520</v>
      </c>
      <c r="Z351" s="753">
        <f>E124</f>
        <v>0</v>
      </c>
    </row>
    <row r="354" spans="26:26">
      <c r="Z354" s="694" t="s">
        <v>675</v>
      </c>
    </row>
    <row r="355" spans="26:26">
      <c r="Z355" s="694" t="s">
        <v>643</v>
      </c>
    </row>
  </sheetData>
  <sheetProtection algorithmName="SHA-512" hashValue="fjBX9hTrwQryP4Qi9GONNfNU4RI36CCLUnaY2OBe+zRWNz4yYyjC7DbQCqWVz9fSBhLP0btXAHMwM8FOvlWexA==" saltValue="Umi6bGuWnUFzllmWsocWOw==" spinCount="100000" sheet="1" objects="1" scenarios="1"/>
  <dataConsolidate/>
  <mergeCells count="97">
    <mergeCell ref="G62:H62"/>
    <mergeCell ref="B75:C75"/>
    <mergeCell ref="G75:H75"/>
    <mergeCell ref="I75:K75"/>
    <mergeCell ref="B99:L103"/>
    <mergeCell ref="G76:H76"/>
    <mergeCell ref="B89:C89"/>
    <mergeCell ref="G89:H89"/>
    <mergeCell ref="I89:K89"/>
    <mergeCell ref="G90:H90"/>
    <mergeCell ref="K20:U20"/>
    <mergeCell ref="K21:U21"/>
    <mergeCell ref="K9:T14"/>
    <mergeCell ref="W16:Z16"/>
    <mergeCell ref="W17:Z17"/>
    <mergeCell ref="W18:Z18"/>
    <mergeCell ref="W19:Z19"/>
    <mergeCell ref="K17:V17"/>
    <mergeCell ref="K15:V15"/>
    <mergeCell ref="W20:Z20"/>
    <mergeCell ref="W21:Z21"/>
    <mergeCell ref="W22:Z22"/>
    <mergeCell ref="W23:Z23"/>
    <mergeCell ref="W24:Z24"/>
    <mergeCell ref="Y34:AC34"/>
    <mergeCell ref="Y35:AB35"/>
    <mergeCell ref="Y36:AB36"/>
    <mergeCell ref="Y37:AB37"/>
    <mergeCell ref="W25:Z25"/>
    <mergeCell ref="W26:Z26"/>
    <mergeCell ref="W27:Z27"/>
    <mergeCell ref="W28:Z28"/>
    <mergeCell ref="W29:Z29"/>
    <mergeCell ref="Y38:AB38"/>
    <mergeCell ref="A20:E20"/>
    <mergeCell ref="A21:E21"/>
    <mergeCell ref="A26:E26"/>
    <mergeCell ref="A30:E30"/>
    <mergeCell ref="A31:E31"/>
    <mergeCell ref="A32:E32"/>
    <mergeCell ref="A27:E27"/>
    <mergeCell ref="A28:E28"/>
    <mergeCell ref="W31:Z31"/>
    <mergeCell ref="W32:Z32"/>
    <mergeCell ref="B35:E35"/>
    <mergeCell ref="K22:V22"/>
    <mergeCell ref="B36:E36"/>
    <mergeCell ref="A29:E29"/>
    <mergeCell ref="W30:Z30"/>
    <mergeCell ref="I49:K49"/>
    <mergeCell ref="G49:H49"/>
    <mergeCell ref="G50:H50"/>
    <mergeCell ref="G61:H61"/>
    <mergeCell ref="I61:K61"/>
    <mergeCell ref="Y39:AB39"/>
    <mergeCell ref="M157:O157"/>
    <mergeCell ref="M180:O180"/>
    <mergeCell ref="B39:E39"/>
    <mergeCell ref="B46:C46"/>
    <mergeCell ref="B47:C47"/>
    <mergeCell ref="B98:O98"/>
    <mergeCell ref="B70:C70"/>
    <mergeCell ref="B71:C71"/>
    <mergeCell ref="B72:C72"/>
    <mergeCell ref="B73:C73"/>
    <mergeCell ref="P98:Q98"/>
    <mergeCell ref="P100:Q100"/>
    <mergeCell ref="B61:C61"/>
    <mergeCell ref="P117:V120"/>
    <mergeCell ref="O102:Q102"/>
    <mergeCell ref="T34:U34"/>
    <mergeCell ref="R36:S36"/>
    <mergeCell ref="R37:S37"/>
    <mergeCell ref="R38:S38"/>
    <mergeCell ref="R39:S39"/>
    <mergeCell ref="R34:S34"/>
    <mergeCell ref="T35:U35"/>
    <mergeCell ref="T36:U36"/>
    <mergeCell ref="T37:U37"/>
    <mergeCell ref="T38:U38"/>
    <mergeCell ref="T39:U39"/>
    <mergeCell ref="A44:C44"/>
    <mergeCell ref="A45:C45"/>
    <mergeCell ref="B303:V304"/>
    <mergeCell ref="M39:O39"/>
    <mergeCell ref="R35:S35"/>
    <mergeCell ref="B243:E243"/>
    <mergeCell ref="B242:E242"/>
    <mergeCell ref="M241:S241"/>
    <mergeCell ref="N225:S225"/>
    <mergeCell ref="B37:E37"/>
    <mergeCell ref="B234:V235"/>
    <mergeCell ref="M38:P38"/>
    <mergeCell ref="S222:W223"/>
    <mergeCell ref="B38:E38"/>
    <mergeCell ref="P104:Q104"/>
    <mergeCell ref="B49:C49"/>
  </mergeCells>
  <phoneticPr fontId="11" type="noConversion"/>
  <conditionalFormatting sqref="M157">
    <cfRule type="expression" dxfId="31" priority="9" stopIfTrue="1">
      <formula>$K$157&lt;Q137</formula>
    </cfRule>
  </conditionalFormatting>
  <conditionalFormatting sqref="M180">
    <cfRule type="expression" dxfId="30" priority="10" stopIfTrue="1">
      <formula>$K$157&lt;Q137</formula>
    </cfRule>
  </conditionalFormatting>
  <conditionalFormatting sqref="N225:S225">
    <cfRule type="expression" dxfId="29" priority="11" stopIfTrue="1">
      <formula>M225&lt;0.5</formula>
    </cfRule>
  </conditionalFormatting>
  <conditionalFormatting sqref="K248:L248 M246:Q246">
    <cfRule type="expression" dxfId="28" priority="12" stopIfTrue="1">
      <formula>#REF!&lt;0.5</formula>
    </cfRule>
  </conditionalFormatting>
  <dataValidations disablePrompts="1" count="2">
    <dataValidation type="list" allowBlank="1" showInputMessage="1" showErrorMessage="1" sqref="E108" xr:uid="{00000000-0002-0000-0400-000000000000}">
      <formula1>$Y$348:$Y$351</formula1>
    </dataValidation>
    <dataValidation type="list" allowBlank="1" showInputMessage="1" showErrorMessage="1" sqref="E237" xr:uid="{00000000-0002-0000-0400-000001000000}">
      <formula1>Z354:Z355</formula1>
    </dataValidation>
  </dataValidations>
  <pageMargins left="0.7" right="0.7" top="0.75" bottom="0.75" header="0.3" footer="0.3"/>
  <pageSetup paperSize="17" scale="64" fitToWidth="0" fitToHeight="0" orientation="landscape" r:id="rId1"/>
  <headerFooter alignWithMargins="0">
    <oddFooter>&amp;RFilename:&amp;F
Tab:&amp;A</oddFooter>
  </headerFooter>
  <rowBreaks count="2" manualBreakCount="2">
    <brk id="105" max="29" man="1"/>
    <brk id="231" max="29" man="1"/>
  </rowBreaks>
  <ignoredErrors>
    <ignoredError sqref="G24 G31:G32 G27" unlockedFormula="1"/>
    <ignoredError sqref="G28:G30 I27" formulaRange="1" unlockedFormula="1"/>
  </ignoredErrors>
  <drawing r:id="rId2"/>
  <legacyDrawing r:id="rId3"/>
  <oleObjects>
    <mc:AlternateContent xmlns:mc="http://schemas.openxmlformats.org/markup-compatibility/2006">
      <mc:Choice Requires="x14">
        <oleObject progId="Visio.Drawing.15" shapeId="38931" r:id="rId4">
          <objectPr defaultSize="0" r:id="rId5">
            <anchor moveWithCells="1">
              <from>
                <xdr:col>1</xdr:col>
                <xdr:colOff>480060</xdr:colOff>
                <xdr:row>274</xdr:row>
                <xdr:rowOff>83820</xdr:rowOff>
              </from>
              <to>
                <xdr:col>6</xdr:col>
                <xdr:colOff>556260</xdr:colOff>
                <xdr:row>279</xdr:row>
                <xdr:rowOff>76200</xdr:rowOff>
              </to>
            </anchor>
          </objectPr>
        </oleObject>
      </mc:Choice>
      <mc:Fallback>
        <oleObject progId="Visio.Drawing.15" shapeId="38931" r:id="rId4"/>
      </mc:Fallback>
    </mc:AlternateContent>
    <mc:AlternateContent xmlns:mc="http://schemas.openxmlformats.org/markup-compatibility/2006">
      <mc:Choice Requires="x14">
        <oleObject progId="Visio.Drawing.15" shapeId="38934" r:id="rId6">
          <objectPr defaultSize="0" r:id="rId7">
            <anchor moveWithCells="1">
              <from>
                <xdr:col>1</xdr:col>
                <xdr:colOff>518160</xdr:colOff>
                <xdr:row>265</xdr:row>
                <xdr:rowOff>7620</xdr:rowOff>
              </from>
              <to>
                <xdr:col>6</xdr:col>
                <xdr:colOff>594360</xdr:colOff>
                <xdr:row>270</xdr:row>
                <xdr:rowOff>0</xdr:rowOff>
              </to>
            </anchor>
          </objectPr>
        </oleObject>
      </mc:Choice>
      <mc:Fallback>
        <oleObject progId="Visio.Drawing.15" shapeId="38934" r:id="rId6"/>
      </mc:Fallback>
    </mc:AlternateContent>
    <mc:AlternateContent xmlns:mc="http://schemas.openxmlformats.org/markup-compatibility/2006">
      <mc:Choice Requires="x14">
        <oleObject progId="Visio.Drawing.15" shapeId="38935" r:id="rId8">
          <objectPr defaultSize="0" r:id="rId9">
            <anchor moveWithCells="1">
              <from>
                <xdr:col>1</xdr:col>
                <xdr:colOff>403860</xdr:colOff>
                <xdr:row>285</xdr:row>
                <xdr:rowOff>121920</xdr:rowOff>
              </from>
              <to>
                <xdr:col>6</xdr:col>
                <xdr:colOff>464820</xdr:colOff>
                <xdr:row>290</xdr:row>
                <xdr:rowOff>114300</xdr:rowOff>
              </to>
            </anchor>
          </objectPr>
        </oleObject>
      </mc:Choice>
      <mc:Fallback>
        <oleObject progId="Visio.Drawing.15" shapeId="38935" r:id="rId8"/>
      </mc:Fallback>
    </mc:AlternateContent>
    <mc:AlternateContent xmlns:mc="http://schemas.openxmlformats.org/markup-compatibility/2006">
      <mc:Choice Requires="x14">
        <oleObject progId="Visio.Drawing.15" shapeId="38936" r:id="rId10">
          <objectPr defaultSize="0" r:id="rId11">
            <anchor moveWithCells="1">
              <from>
                <xdr:col>1</xdr:col>
                <xdr:colOff>342900</xdr:colOff>
                <xdr:row>295</xdr:row>
                <xdr:rowOff>99060</xdr:rowOff>
              </from>
              <to>
                <xdr:col>6</xdr:col>
                <xdr:colOff>419100</xdr:colOff>
                <xdr:row>300</xdr:row>
                <xdr:rowOff>76200</xdr:rowOff>
              </to>
            </anchor>
          </objectPr>
        </oleObject>
      </mc:Choice>
      <mc:Fallback>
        <oleObject progId="Visio.Drawing.15" shapeId="38936" r:id="rId10"/>
      </mc:Fallback>
    </mc:AlternateContent>
    <mc:AlternateContent xmlns:mc="http://schemas.openxmlformats.org/markup-compatibility/2006">
      <mc:Choice Requires="x14">
        <oleObject progId="Visio.Drawing.15" shapeId="38941" r:id="rId12">
          <objectPr defaultSize="0" r:id="rId13">
            <anchor moveWithCells="1">
              <from>
                <xdr:col>0</xdr:col>
                <xdr:colOff>137160</xdr:colOff>
                <xdr:row>316</xdr:row>
                <xdr:rowOff>68580</xdr:rowOff>
              </from>
              <to>
                <xdr:col>7</xdr:col>
                <xdr:colOff>121920</xdr:colOff>
                <xdr:row>327</xdr:row>
                <xdr:rowOff>121920</xdr:rowOff>
              </to>
            </anchor>
          </objectPr>
        </oleObject>
      </mc:Choice>
      <mc:Fallback>
        <oleObject progId="Visio.Drawing.15" shapeId="38941" r:id="rId12"/>
      </mc:Fallback>
    </mc:AlternateContent>
    <mc:AlternateContent xmlns:mc="http://schemas.openxmlformats.org/markup-compatibility/2006">
      <mc:Choice Requires="x14">
        <oleObject progId="Visio.Drawing.15" shapeId="38942" r:id="rId14">
          <objectPr defaultSize="0" autoPict="0" r:id="rId15">
            <anchor moveWithCells="1">
              <from>
                <xdr:col>15</xdr:col>
                <xdr:colOff>403860</xdr:colOff>
                <xdr:row>325</xdr:row>
                <xdr:rowOff>7620</xdr:rowOff>
              </from>
              <to>
                <xdr:col>23</xdr:col>
                <xdr:colOff>541020</xdr:colOff>
                <xdr:row>334</xdr:row>
                <xdr:rowOff>182880</xdr:rowOff>
              </to>
            </anchor>
          </objectPr>
        </oleObject>
      </mc:Choice>
      <mc:Fallback>
        <oleObject progId="Visio.Drawing.15" shapeId="38942" r:id="rId14"/>
      </mc:Fallback>
    </mc:AlternateContent>
    <mc:AlternateContent xmlns:mc="http://schemas.openxmlformats.org/markup-compatibility/2006">
      <mc:Choice Requires="x14">
        <oleObject progId="Visio.Drawing.15" shapeId="38943" r:id="rId16">
          <objectPr defaultSize="0" r:id="rId17">
            <anchor moveWithCells="1">
              <from>
                <xdr:col>0</xdr:col>
                <xdr:colOff>121920</xdr:colOff>
                <xdr:row>330</xdr:row>
                <xdr:rowOff>83820</xdr:rowOff>
              </from>
              <to>
                <xdr:col>7</xdr:col>
                <xdr:colOff>137160</xdr:colOff>
                <xdr:row>341</xdr:row>
                <xdr:rowOff>137160</xdr:rowOff>
              </to>
            </anchor>
          </objectPr>
        </oleObject>
      </mc:Choice>
      <mc:Fallback>
        <oleObject progId="Visio.Drawing.15" shapeId="38943" r:id="rId16"/>
      </mc:Fallback>
    </mc:AlternateContent>
    <mc:AlternateContent xmlns:mc="http://schemas.openxmlformats.org/markup-compatibility/2006">
      <mc:Choice Requires="x14">
        <oleObject progId="Visio.Drawing.15" shapeId="38944" r:id="rId18">
          <objectPr defaultSize="0" autoPict="0" r:id="rId19">
            <anchor moveWithCells="1">
              <from>
                <xdr:col>1</xdr:col>
                <xdr:colOff>30480</xdr:colOff>
                <xdr:row>304</xdr:row>
                <xdr:rowOff>60960</xdr:rowOff>
              </from>
              <to>
                <xdr:col>5</xdr:col>
                <xdr:colOff>83820</xdr:colOff>
                <xdr:row>314</xdr:row>
                <xdr:rowOff>68580</xdr:rowOff>
              </to>
            </anchor>
          </objectPr>
        </oleObject>
      </mc:Choice>
      <mc:Fallback>
        <oleObject progId="Visio.Drawing.15" shapeId="38944" r:id="rId18"/>
      </mc:Fallback>
    </mc:AlternateContent>
    <mc:AlternateContent xmlns:mc="http://schemas.openxmlformats.org/markup-compatibility/2006">
      <mc:Choice Requires="x14">
        <oleObject progId="Visio.Drawing.15" shapeId="38945" r:id="rId20">
          <objectPr defaultSize="0" autoPict="0" r:id="rId21">
            <anchor moveWithCells="1">
              <from>
                <xdr:col>6</xdr:col>
                <xdr:colOff>144780</xdr:colOff>
                <xdr:row>304</xdr:row>
                <xdr:rowOff>68580</xdr:rowOff>
              </from>
              <to>
                <xdr:col>14</xdr:col>
                <xdr:colOff>487680</xdr:colOff>
                <xdr:row>314</xdr:row>
                <xdr:rowOff>106680</xdr:rowOff>
              </to>
            </anchor>
          </objectPr>
        </oleObject>
      </mc:Choice>
      <mc:Fallback>
        <oleObject progId="Visio.Drawing.15" shapeId="38945" r:id="rId20"/>
      </mc:Fallback>
    </mc:AlternateContent>
    <mc:AlternateContent xmlns:mc="http://schemas.openxmlformats.org/markup-compatibility/2006">
      <mc:Choice Requires="x14">
        <oleObject progId="Visio.Drawing.15" shapeId="38946" r:id="rId22">
          <objectPr defaultSize="0" autoPict="0" r:id="rId23">
            <anchor moveWithCells="1">
              <from>
                <xdr:col>15</xdr:col>
                <xdr:colOff>60960</xdr:colOff>
                <xdr:row>304</xdr:row>
                <xdr:rowOff>60960</xdr:rowOff>
              </from>
              <to>
                <xdr:col>21</xdr:col>
                <xdr:colOff>1165860</xdr:colOff>
                <xdr:row>314</xdr:row>
                <xdr:rowOff>99060</xdr:rowOff>
              </to>
            </anchor>
          </objectPr>
        </oleObject>
      </mc:Choice>
      <mc:Fallback>
        <oleObject progId="Visio.Drawing.15" shapeId="38946" r:id="rId22"/>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Z493"/>
  <sheetViews>
    <sheetView showGridLines="0" topLeftCell="F1" zoomScale="85" zoomScaleNormal="85" zoomScaleSheetLayoutView="100" workbookViewId="0">
      <selection sqref="A1:W1"/>
    </sheetView>
  </sheetViews>
  <sheetFormatPr defaultColWidth="9.109375" defaultRowHeight="13.2"/>
  <cols>
    <col min="1" max="1" width="3.5546875" style="161" hidden="1" customWidth="1"/>
    <col min="2" max="2" width="0" style="161" hidden="1" customWidth="1"/>
    <col min="3" max="3" width="2.109375" style="161" hidden="1" customWidth="1"/>
    <col min="4" max="4" width="0" style="161" hidden="1" customWidth="1"/>
    <col min="5" max="5" width="2.109375" style="161" hidden="1" customWidth="1"/>
    <col min="6" max="6" width="6.5546875" style="161" customWidth="1"/>
    <col min="7" max="7" width="1.109375" style="161" hidden="1" customWidth="1"/>
    <col min="8" max="8" width="4.6640625" style="161" customWidth="1"/>
    <col min="9" max="9" width="11.33203125" style="161" customWidth="1"/>
    <col min="10" max="10" width="2.44140625" style="161" customWidth="1"/>
    <col min="11" max="11" width="12.109375" style="161" customWidth="1"/>
    <col min="12" max="12" width="10.33203125" style="161" customWidth="1"/>
    <col min="13" max="13" width="4.44140625" style="161" customWidth="1"/>
    <col min="14" max="14" width="11.5546875" style="161" hidden="1" customWidth="1"/>
    <col min="15" max="15" width="3.6640625" style="161" customWidth="1"/>
    <col min="16" max="16" width="18.6640625" style="161" customWidth="1"/>
    <col min="17" max="17" width="2.88671875" style="161" customWidth="1"/>
    <col min="18" max="18" width="14.109375" style="161" customWidth="1"/>
    <col min="19" max="19" width="2.44140625" style="161" customWidth="1"/>
    <col min="20" max="20" width="12.44140625" style="161" customWidth="1"/>
    <col min="21" max="21" width="1.44140625" style="161" customWidth="1"/>
    <col min="22" max="22" width="11.88671875" style="161" customWidth="1"/>
    <col min="23" max="23" width="7.44140625" style="161" customWidth="1"/>
    <col min="24" max="24" width="17.6640625" style="161" customWidth="1"/>
    <col min="25" max="16384" width="9.109375" style="161"/>
  </cols>
  <sheetData>
    <row r="1" spans="1:24" ht="21">
      <c r="A1" s="1865" t="s">
        <v>676</v>
      </c>
      <c r="B1" s="1865"/>
      <c r="C1" s="1865"/>
      <c r="D1" s="1865"/>
      <c r="E1" s="1865"/>
      <c r="F1" s="1865"/>
      <c r="G1" s="1865"/>
      <c r="H1" s="1865"/>
      <c r="I1" s="1865"/>
      <c r="J1" s="1865"/>
      <c r="K1" s="1865"/>
      <c r="L1" s="1865"/>
      <c r="M1" s="1865"/>
      <c r="N1" s="1865"/>
      <c r="O1" s="1865"/>
      <c r="P1" s="1865"/>
      <c r="Q1" s="1865"/>
      <c r="R1" s="1865"/>
      <c r="S1" s="1865"/>
      <c r="T1" s="1865"/>
      <c r="U1" s="1865"/>
      <c r="V1" s="1865"/>
      <c r="W1" s="1865"/>
    </row>
    <row r="3" spans="1:24" ht="15.6">
      <c r="A3" s="1862" t="s">
        <v>677</v>
      </c>
      <c r="B3" s="1862"/>
      <c r="C3" s="1862"/>
      <c r="D3" s="1862"/>
      <c r="E3" s="1862"/>
      <c r="F3" s="1862"/>
      <c r="G3" s="1862"/>
      <c r="H3" s="1862"/>
      <c r="I3" s="1862"/>
      <c r="J3" s="1862"/>
      <c r="K3" s="1862"/>
      <c r="L3" s="1862"/>
      <c r="M3" s="1862"/>
      <c r="N3" s="1862"/>
      <c r="O3" s="1862"/>
      <c r="P3" s="1862"/>
      <c r="Q3" s="1862"/>
      <c r="R3" s="1862"/>
      <c r="S3" s="1862"/>
      <c r="T3" s="1862"/>
      <c r="U3" s="1862"/>
      <c r="V3" s="1862"/>
      <c r="W3" s="1862"/>
      <c r="X3" s="162"/>
    </row>
    <row r="4" spans="1:24" ht="15.6">
      <c r="A4" s="1862" t="s">
        <v>678</v>
      </c>
      <c r="B4" s="1862"/>
      <c r="C4" s="1862"/>
      <c r="D4" s="1862"/>
      <c r="E4" s="1862"/>
      <c r="F4" s="1862"/>
      <c r="G4" s="1862"/>
      <c r="H4" s="1862"/>
      <c r="I4" s="1862"/>
      <c r="J4" s="1862"/>
      <c r="K4" s="1862"/>
      <c r="L4" s="1862"/>
      <c r="M4" s="1862"/>
      <c r="N4" s="1862"/>
      <c r="O4" s="1862"/>
      <c r="P4" s="1862"/>
      <c r="Q4" s="1862"/>
      <c r="R4" s="1862"/>
      <c r="S4" s="1862"/>
      <c r="T4" s="1862"/>
      <c r="U4" s="1862"/>
      <c r="V4" s="1862"/>
      <c r="W4" s="1862"/>
      <c r="X4" s="162"/>
    </row>
    <row r="5" spans="1:24">
      <c r="C5" s="162"/>
      <c r="D5" s="162"/>
      <c r="E5" s="162"/>
      <c r="F5" s="162"/>
      <c r="G5" s="162"/>
      <c r="H5" s="162"/>
      <c r="I5" s="162"/>
      <c r="J5" s="162"/>
      <c r="K5" s="164"/>
      <c r="L5" s="162"/>
      <c r="M5" s="162"/>
      <c r="N5" s="162"/>
      <c r="O5" s="162"/>
      <c r="R5"/>
      <c r="S5"/>
      <c r="T5"/>
      <c r="U5" s="162"/>
      <c r="V5" s="162"/>
      <c r="W5" s="162"/>
      <c r="X5" s="162"/>
    </row>
    <row r="6" spans="1:24">
      <c r="C6" s="162"/>
      <c r="D6" s="162"/>
      <c r="E6" s="162"/>
      <c r="F6" s="162"/>
      <c r="G6" s="162"/>
      <c r="H6" s="162"/>
      <c r="I6" s="162"/>
      <c r="J6" s="162"/>
      <c r="K6" s="162"/>
      <c r="L6" s="165"/>
      <c r="M6" s="162"/>
      <c r="N6" s="162"/>
      <c r="O6" s="162"/>
      <c r="P6" s="162"/>
      <c r="Q6" s="162"/>
      <c r="R6" s="162"/>
      <c r="S6" s="162"/>
      <c r="T6" s="162"/>
      <c r="U6" s="162"/>
      <c r="V6" s="162"/>
      <c r="W6" s="162"/>
      <c r="X6" s="162"/>
    </row>
    <row r="7" spans="1:24">
      <c r="C7" s="162"/>
      <c r="D7" s="162"/>
      <c r="E7" s="162"/>
      <c r="F7" s="162"/>
      <c r="G7" s="162"/>
      <c r="H7" s="162"/>
      <c r="I7" s="162"/>
      <c r="J7" s="162"/>
      <c r="K7" s="162"/>
      <c r="L7" s="165"/>
      <c r="M7" s="162"/>
      <c r="N7"/>
      <c r="O7"/>
      <c r="P7"/>
      <c r="Q7"/>
      <c r="R7"/>
      <c r="S7"/>
      <c r="T7"/>
      <c r="U7" s="162"/>
      <c r="V7" s="162"/>
      <c r="W7" s="162"/>
      <c r="X7" s="162"/>
    </row>
    <row r="8" spans="1:24">
      <c r="C8" s="162"/>
      <c r="D8" s="162"/>
      <c r="E8" s="162"/>
      <c r="F8" s="162"/>
      <c r="G8" s="162"/>
      <c r="H8" s="162"/>
      <c r="I8" s="162"/>
      <c r="J8" s="162"/>
      <c r="K8" s="162"/>
      <c r="L8" s="162"/>
      <c r="M8" s="162"/>
      <c r="N8"/>
      <c r="O8"/>
      <c r="P8"/>
      <c r="Q8"/>
      <c r="R8"/>
      <c r="S8"/>
      <c r="T8"/>
      <c r="U8" s="162"/>
      <c r="V8" s="162"/>
      <c r="W8" s="162"/>
      <c r="X8" s="162"/>
    </row>
    <row r="9" spans="1:24">
      <c r="C9" s="162"/>
      <c r="D9" s="162"/>
      <c r="E9" s="162"/>
      <c r="F9" s="162"/>
      <c r="G9" s="162"/>
      <c r="H9" s="162"/>
      <c r="I9" s="162"/>
      <c r="J9" s="162"/>
      <c r="K9" s="162"/>
      <c r="L9" s="162"/>
      <c r="M9" s="162"/>
      <c r="N9"/>
      <c r="O9"/>
      <c r="P9"/>
      <c r="Q9"/>
      <c r="R9"/>
      <c r="S9"/>
      <c r="T9"/>
      <c r="U9" s="162"/>
      <c r="V9" s="162"/>
      <c r="W9" s="162"/>
      <c r="X9" s="162"/>
    </row>
    <row r="10" spans="1:24">
      <c r="C10" s="162"/>
      <c r="D10" s="162"/>
      <c r="E10" s="162"/>
      <c r="F10" s="162"/>
      <c r="G10" s="162"/>
      <c r="H10" s="162"/>
      <c r="I10" s="162"/>
      <c r="J10" s="162"/>
      <c r="K10" s="162"/>
      <c r="L10" s="162"/>
      <c r="M10" s="162"/>
      <c r="N10"/>
      <c r="O10"/>
      <c r="P10"/>
      <c r="Q10"/>
      <c r="R10"/>
      <c r="S10"/>
      <c r="T10"/>
      <c r="U10" s="162"/>
      <c r="V10" s="162"/>
      <c r="W10" s="162"/>
      <c r="X10" s="162"/>
    </row>
    <row r="11" spans="1:24">
      <c r="C11" s="162"/>
      <c r="D11" s="162"/>
      <c r="E11" s="162"/>
      <c r="F11" s="162"/>
      <c r="G11" s="162"/>
      <c r="H11" s="162"/>
      <c r="I11" s="162"/>
      <c r="J11" s="162"/>
      <c r="K11" s="162"/>
      <c r="L11" s="162"/>
      <c r="M11" s="162"/>
      <c r="N11" s="162"/>
      <c r="O11" s="162"/>
      <c r="P11" s="162"/>
      <c r="Q11" s="162"/>
      <c r="R11" s="162"/>
      <c r="S11" s="162"/>
      <c r="T11" s="162"/>
      <c r="U11" s="162"/>
      <c r="V11" s="162"/>
      <c r="W11" s="162"/>
      <c r="X11" s="162"/>
    </row>
    <row r="12" spans="1:24">
      <c r="B12" s="344" t="s">
        <v>679</v>
      </c>
      <c r="D12" s="166"/>
      <c r="E12" s="166"/>
      <c r="F12" s="166"/>
      <c r="G12" s="166"/>
      <c r="J12" s="162"/>
      <c r="K12" s="162"/>
      <c r="L12" s="162"/>
      <c r="N12" s="344" t="s">
        <v>680</v>
      </c>
      <c r="O12" s="162"/>
      <c r="P12" s="162"/>
      <c r="Q12" s="162"/>
      <c r="R12" s="162"/>
      <c r="S12" s="162"/>
      <c r="T12" s="1201"/>
    </row>
    <row r="13" spans="1:24" ht="33" customHeight="1">
      <c r="E13" s="1202"/>
      <c r="F13" s="1202"/>
      <c r="G13" s="1202"/>
      <c r="H13" s="521">
        <f>'6) Zone Imp'!G3</f>
        <v>0</v>
      </c>
      <c r="J13" s="898"/>
      <c r="K13" s="162"/>
      <c r="L13" s="342">
        <f>'6) Zone Imp'!M3</f>
        <v>0</v>
      </c>
      <c r="O13" s="162"/>
      <c r="P13" s="162"/>
      <c r="Q13" s="162"/>
      <c r="R13" s="1867" t="s">
        <v>681</v>
      </c>
      <c r="S13" s="1867"/>
      <c r="T13" s="1867"/>
    </row>
    <row r="14" spans="1:24">
      <c r="B14" s="168" t="s">
        <v>682</v>
      </c>
      <c r="C14" s="169"/>
      <c r="D14" s="168" t="s">
        <v>683</v>
      </c>
      <c r="E14" s="170"/>
      <c r="F14" s="343"/>
      <c r="H14" s="166" t="s">
        <v>684</v>
      </c>
      <c r="L14" s="182" t="s">
        <v>685</v>
      </c>
      <c r="N14" s="168" t="s">
        <v>686</v>
      </c>
      <c r="O14" s="162"/>
      <c r="P14" s="345" t="s">
        <v>687</v>
      </c>
      <c r="Q14" s="171"/>
      <c r="R14" s="898" t="s">
        <v>688</v>
      </c>
      <c r="S14" s="898"/>
      <c r="T14" s="899" t="s">
        <v>689</v>
      </c>
      <c r="X14" s="1097" t="s">
        <v>690</v>
      </c>
    </row>
    <row r="15" spans="1:24" ht="13.95" customHeight="1" thickBot="1">
      <c r="A15" s="164" t="s">
        <v>691</v>
      </c>
      <c r="B15" s="1203">
        <v>0.86699999999999999</v>
      </c>
      <c r="C15" s="172" t="s">
        <v>620</v>
      </c>
      <c r="D15" s="1203">
        <v>1.59</v>
      </c>
      <c r="E15" s="1204" t="s">
        <v>452</v>
      </c>
      <c r="F15" s="332"/>
      <c r="G15" s="173" t="s">
        <v>692</v>
      </c>
      <c r="H15" s="174"/>
      <c r="I15" s="324"/>
      <c r="J15" s="1205"/>
      <c r="K15" s="325"/>
      <c r="L15" s="1206"/>
      <c r="M15" s="175" t="s">
        <v>691</v>
      </c>
      <c r="N15" s="700">
        <v>2.86</v>
      </c>
      <c r="O15" s="333" t="str">
        <f>IF(R15=MAX($R$15:$R$22),"Long","")</f>
        <v>Long</v>
      </c>
      <c r="P15" s="1207" t="str">
        <f>'1) Data Entry'!AD413</f>
        <v/>
      </c>
      <c r="Q15" s="897"/>
      <c r="R15" s="1056"/>
      <c r="S15" s="897" t="s">
        <v>452</v>
      </c>
      <c r="T15" s="1057"/>
      <c r="V15" s="162" t="str">
        <f>IF($R$15=MAX($R$15:$R$26),"longest line w/infeed","")</f>
        <v>longest line w/infeed</v>
      </c>
      <c r="X15" s="1057"/>
    </row>
    <row r="16" spans="1:24" ht="13.95" customHeight="1" thickTop="1">
      <c r="A16" s="164" t="s">
        <v>693</v>
      </c>
      <c r="B16" s="1208">
        <v>0.93600000000000005</v>
      </c>
      <c r="C16" s="172" t="s">
        <v>620</v>
      </c>
      <c r="D16" s="1367">
        <v>0.93600000000000005</v>
      </c>
      <c r="E16" s="1204" t="s">
        <v>452</v>
      </c>
      <c r="F16" s="332"/>
      <c r="G16" s="173" t="s">
        <v>692</v>
      </c>
      <c r="H16" s="176"/>
      <c r="I16" s="177"/>
      <c r="J16" s="178"/>
      <c r="K16" s="326"/>
      <c r="M16" s="175" t="s">
        <v>693</v>
      </c>
      <c r="N16" s="1209">
        <v>2.19</v>
      </c>
      <c r="O16" s="333" t="str">
        <f t="shared" ref="O16:O22" si="0">IF(R16=MAX($R$15:$R$22),"Long","")</f>
        <v>Long</v>
      </c>
      <c r="P16" s="1207" t="str">
        <f>'1) Data Entry'!AD414</f>
        <v/>
      </c>
      <c r="Q16" s="897"/>
      <c r="R16" s="1056"/>
      <c r="S16" s="897" t="s">
        <v>452</v>
      </c>
      <c r="T16" s="1057"/>
      <c r="V16" s="162" t="str">
        <f>IF($R$16=MAX($R$15:$R$26),"longest line w/infeed","")</f>
        <v>longest line w/infeed</v>
      </c>
      <c r="X16" s="1057"/>
    </row>
    <row r="17" spans="1:24" ht="13.95" customHeight="1">
      <c r="A17" s="164" t="s">
        <v>694</v>
      </c>
      <c r="B17" s="1367"/>
      <c r="C17" s="172" t="s">
        <v>620</v>
      </c>
      <c r="D17" s="1367"/>
      <c r="E17" s="1204" t="s">
        <v>452</v>
      </c>
      <c r="F17" s="332"/>
      <c r="G17" s="173" t="s">
        <v>692</v>
      </c>
      <c r="H17" s="179"/>
      <c r="I17" s="180"/>
      <c r="J17" s="1210"/>
      <c r="K17" s="181"/>
      <c r="M17" s="175" t="s">
        <v>694</v>
      </c>
      <c r="N17" s="1209"/>
      <c r="O17" s="333" t="str">
        <f t="shared" si="0"/>
        <v>Long</v>
      </c>
      <c r="P17" s="1207" t="str">
        <f>'1) Data Entry'!AD415</f>
        <v/>
      </c>
      <c r="Q17" s="897"/>
      <c r="R17" s="1056"/>
      <c r="S17" s="897" t="s">
        <v>452</v>
      </c>
      <c r="T17" s="1057"/>
      <c r="V17" s="162" t="str">
        <f>IF($R$17=MAX($R$15:$R$26),"longest line w/infeed","")</f>
        <v>longest line w/infeed</v>
      </c>
      <c r="X17" s="1057"/>
    </row>
    <row r="18" spans="1:24" ht="13.95" customHeight="1">
      <c r="A18" s="164" t="s">
        <v>695</v>
      </c>
      <c r="B18" s="1367"/>
      <c r="C18" s="172" t="s">
        <v>620</v>
      </c>
      <c r="D18" s="1367"/>
      <c r="E18" s="1204" t="s">
        <v>452</v>
      </c>
      <c r="F18" s="332"/>
      <c r="G18" s="173" t="s">
        <v>692</v>
      </c>
      <c r="H18" s="182"/>
      <c r="I18" s="168"/>
      <c r="J18" s="163"/>
      <c r="K18" s="183"/>
      <c r="M18" s="175" t="s">
        <v>695</v>
      </c>
      <c r="N18" s="1209"/>
      <c r="O18" s="333" t="str">
        <f t="shared" si="0"/>
        <v>Long</v>
      </c>
      <c r="P18" s="1207" t="str">
        <f>'1) Data Entry'!AD416</f>
        <v/>
      </c>
      <c r="Q18" s="897"/>
      <c r="R18" s="1056"/>
      <c r="S18" s="897" t="s">
        <v>452</v>
      </c>
      <c r="T18" s="1057"/>
      <c r="V18" s="162" t="str">
        <f>IF($R$18=MAX($R$15:$R$26),"longest line w/infeed","")</f>
        <v>longest line w/infeed</v>
      </c>
      <c r="X18" s="1057"/>
    </row>
    <row r="19" spans="1:24" ht="13.95" customHeight="1">
      <c r="A19" s="164" t="s">
        <v>696</v>
      </c>
      <c r="B19" s="1367"/>
      <c r="C19" s="172" t="s">
        <v>620</v>
      </c>
      <c r="D19" s="1367"/>
      <c r="E19" s="1204" t="s">
        <v>452</v>
      </c>
      <c r="F19" s="332"/>
      <c r="G19" s="173" t="s">
        <v>692</v>
      </c>
      <c r="H19" s="182"/>
      <c r="I19" s="168"/>
      <c r="J19" s="163"/>
      <c r="K19" s="183"/>
      <c r="M19" s="175" t="s">
        <v>696</v>
      </c>
      <c r="N19" s="1209"/>
      <c r="O19" s="333" t="str">
        <f t="shared" si="0"/>
        <v>Long</v>
      </c>
      <c r="P19" s="1207" t="str">
        <f>'1) Data Entry'!AD417</f>
        <v/>
      </c>
      <c r="Q19" s="897"/>
      <c r="R19" s="1056"/>
      <c r="S19" s="897" t="s">
        <v>452</v>
      </c>
      <c r="T19" s="1057"/>
      <c r="V19" s="162" t="str">
        <f>IF($R$19=MAX($R$15:$R$26),"longest line w/infeed","")</f>
        <v>longest line w/infeed</v>
      </c>
      <c r="X19" s="1057"/>
    </row>
    <row r="20" spans="1:24" ht="13.95" customHeight="1">
      <c r="A20" s="164" t="s">
        <v>697</v>
      </c>
      <c r="B20" s="1367"/>
      <c r="C20" s="172" t="s">
        <v>620</v>
      </c>
      <c r="D20" s="1367"/>
      <c r="E20" s="1204" t="s">
        <v>452</v>
      </c>
      <c r="F20" s="332"/>
      <c r="G20" s="173" t="s">
        <v>692</v>
      </c>
      <c r="H20" s="162"/>
      <c r="I20" s="163" t="s">
        <v>243</v>
      </c>
      <c r="J20" s="163"/>
      <c r="K20" s="183"/>
      <c r="M20" s="175" t="s">
        <v>697</v>
      </c>
      <c r="N20" s="1209"/>
      <c r="O20" s="333" t="str">
        <f t="shared" si="0"/>
        <v>Long</v>
      </c>
      <c r="P20" s="1207" t="str">
        <f>'1) Data Entry'!AD418</f>
        <v/>
      </c>
      <c r="Q20" s="897"/>
      <c r="R20" s="1056"/>
      <c r="S20" s="897" t="s">
        <v>452</v>
      </c>
      <c r="T20" s="1057"/>
      <c r="V20" s="162" t="str">
        <f>IF($R$20=MAX($R$15:$R$26),"longest line w/infeed","")</f>
        <v>longest line w/infeed</v>
      </c>
      <c r="X20" s="1057"/>
    </row>
    <row r="21" spans="1:24" ht="13.95" customHeight="1">
      <c r="A21" s="164" t="s">
        <v>698</v>
      </c>
      <c r="B21" s="1367"/>
      <c r="C21" s="172" t="s">
        <v>620</v>
      </c>
      <c r="D21" s="1367"/>
      <c r="E21" s="1204" t="s">
        <v>452</v>
      </c>
      <c r="F21" s="332"/>
      <c r="G21" s="173" t="s">
        <v>692</v>
      </c>
      <c r="H21" s="162"/>
      <c r="I21" s="163"/>
      <c r="J21" s="163"/>
      <c r="K21" s="183"/>
      <c r="M21" s="175" t="s">
        <v>698</v>
      </c>
      <c r="N21" s="1209"/>
      <c r="O21" s="333" t="str">
        <f t="shared" si="0"/>
        <v>Long</v>
      </c>
      <c r="P21" s="1207" t="str">
        <f>'1) Data Entry'!AD419</f>
        <v/>
      </c>
      <c r="Q21" s="897"/>
      <c r="R21" s="1056"/>
      <c r="S21" s="897" t="s">
        <v>452</v>
      </c>
      <c r="T21" s="1057"/>
      <c r="V21" s="162" t="str">
        <f t="shared" ref="V21:V26" si="1">IF(R21=MAX($R$15:$R$26),"longest line w/infeed","")</f>
        <v>longest line w/infeed</v>
      </c>
      <c r="X21" s="1057"/>
    </row>
    <row r="22" spans="1:24" ht="13.95" customHeight="1">
      <c r="A22" s="1211" t="s">
        <v>699</v>
      </c>
      <c r="B22" s="1367"/>
      <c r="C22" s="172" t="s">
        <v>620</v>
      </c>
      <c r="D22" s="1367"/>
      <c r="E22" s="1204" t="s">
        <v>452</v>
      </c>
      <c r="F22" s="332"/>
      <c r="G22" s="173" t="s">
        <v>692</v>
      </c>
      <c r="H22" s="162"/>
      <c r="I22" s="163"/>
      <c r="J22" s="163"/>
      <c r="K22" s="183"/>
      <c r="M22" s="175" t="s">
        <v>699</v>
      </c>
      <c r="N22" s="1209"/>
      <c r="O22" s="333" t="str">
        <f t="shared" si="0"/>
        <v>Long</v>
      </c>
      <c r="P22" s="1207" t="str">
        <f>'1) Data Entry'!AD420</f>
        <v/>
      </c>
      <c r="Q22" s="897"/>
      <c r="R22" s="1056"/>
      <c r="S22" s="897" t="s">
        <v>452</v>
      </c>
      <c r="T22" s="1055"/>
      <c r="V22" s="162" t="str">
        <f t="shared" si="1"/>
        <v>longest line w/infeed</v>
      </c>
      <c r="X22" s="1057"/>
    </row>
    <row r="23" spans="1:24" ht="16.2">
      <c r="A23" s="1211" t="s">
        <v>700</v>
      </c>
      <c r="B23" s="1367"/>
      <c r="C23" s="172" t="s">
        <v>620</v>
      </c>
      <c r="D23" s="1367"/>
      <c r="E23" s="1204" t="s">
        <v>452</v>
      </c>
      <c r="F23" s="332"/>
      <c r="G23" s="173" t="s">
        <v>692</v>
      </c>
      <c r="H23" s="162"/>
      <c r="I23" s="163"/>
      <c r="J23" s="163"/>
      <c r="K23" s="183"/>
      <c r="M23" s="1212" t="s">
        <v>700</v>
      </c>
      <c r="N23" s="1209"/>
      <c r="O23" s="333" t="str">
        <f>IF(R23=MAX($R$15:$R$22),"Long","")</f>
        <v>Long</v>
      </c>
      <c r="P23" s="1207" t="str">
        <f>'1) Data Entry'!AD421</f>
        <v/>
      </c>
      <c r="Q23" s="897"/>
      <c r="R23" s="1054"/>
      <c r="S23" s="897" t="s">
        <v>452</v>
      </c>
      <c r="T23" s="1055"/>
      <c r="V23" s="162" t="str">
        <f t="shared" si="1"/>
        <v>longest line w/infeed</v>
      </c>
      <c r="X23" s="1057"/>
    </row>
    <row r="24" spans="1:24" ht="16.2">
      <c r="A24" s="1211" t="s">
        <v>701</v>
      </c>
      <c r="B24" s="1367"/>
      <c r="C24" s="172" t="s">
        <v>620</v>
      </c>
      <c r="D24" s="1367"/>
      <c r="E24" s="1204" t="s">
        <v>452</v>
      </c>
      <c r="F24" s="332"/>
      <c r="G24" s="173" t="s">
        <v>692</v>
      </c>
      <c r="H24" s="162"/>
      <c r="I24" s="163"/>
      <c r="J24" s="163"/>
      <c r="K24" s="183"/>
      <c r="M24" s="1212" t="s">
        <v>701</v>
      </c>
      <c r="N24" s="1209"/>
      <c r="O24" s="333" t="str">
        <f>IF(R24=MAX($R$15:$R$22),"Long","")</f>
        <v>Long</v>
      </c>
      <c r="P24" s="1207" t="str">
        <f>'1) Data Entry'!AD422</f>
        <v/>
      </c>
      <c r="Q24" s="897"/>
      <c r="R24" s="1054"/>
      <c r="S24" s="897" t="s">
        <v>452</v>
      </c>
      <c r="T24" s="1055"/>
      <c r="V24" s="162" t="str">
        <f t="shared" si="1"/>
        <v>longest line w/infeed</v>
      </c>
      <c r="X24" s="1057"/>
    </row>
    <row r="25" spans="1:24" ht="16.2">
      <c r="A25" s="1211" t="s">
        <v>702</v>
      </c>
      <c r="B25" s="1367"/>
      <c r="C25" s="172" t="s">
        <v>620</v>
      </c>
      <c r="D25" s="1367"/>
      <c r="E25" s="1204" t="s">
        <v>452</v>
      </c>
      <c r="F25" s="332"/>
      <c r="G25" s="173" t="s">
        <v>692</v>
      </c>
      <c r="H25" s="162"/>
      <c r="I25" s="163"/>
      <c r="J25" s="163"/>
      <c r="K25" s="183"/>
      <c r="M25" s="1212" t="s">
        <v>702</v>
      </c>
      <c r="N25" s="1209"/>
      <c r="O25" s="333" t="str">
        <f>IF(R25=MAX($R$15:$R$22),"Long","")</f>
        <v>Long</v>
      </c>
      <c r="P25" s="1207" t="str">
        <f>'1) Data Entry'!AD423</f>
        <v/>
      </c>
      <c r="Q25" s="897"/>
      <c r="R25" s="1056"/>
      <c r="S25" s="897" t="s">
        <v>452</v>
      </c>
      <c r="T25" s="1057"/>
      <c r="V25" s="162" t="str">
        <f t="shared" si="1"/>
        <v>longest line w/infeed</v>
      </c>
      <c r="X25" s="1057"/>
    </row>
    <row r="26" spans="1:24" ht="16.2">
      <c r="A26" s="1211" t="s">
        <v>703</v>
      </c>
      <c r="B26" s="1367"/>
      <c r="C26" s="172" t="s">
        <v>620</v>
      </c>
      <c r="D26" s="1367"/>
      <c r="E26" s="1204" t="s">
        <v>452</v>
      </c>
      <c r="F26" s="332"/>
      <c r="G26" s="173" t="s">
        <v>692</v>
      </c>
      <c r="H26" s="162"/>
      <c r="I26" s="163"/>
      <c r="J26" s="163"/>
      <c r="K26" s="183"/>
      <c r="M26" s="1212" t="s">
        <v>703</v>
      </c>
      <c r="N26" s="1209"/>
      <c r="O26" s="333" t="str">
        <f>IF(R26=MAX($R$15:$R$22),"Long","")</f>
        <v>Long</v>
      </c>
      <c r="P26" s="1207" t="str">
        <f>'1) Data Entry'!AD424</f>
        <v/>
      </c>
      <c r="Q26" s="897"/>
      <c r="R26" s="1056"/>
      <c r="S26" s="897" t="s">
        <v>452</v>
      </c>
      <c r="T26" s="1057"/>
      <c r="V26" s="162" t="str">
        <f t="shared" si="1"/>
        <v>longest line w/infeed</v>
      </c>
      <c r="X26" s="1057"/>
    </row>
    <row r="27" spans="1:24" ht="15.6">
      <c r="B27" s="162"/>
      <c r="C27" s="162"/>
      <c r="D27" s="162"/>
      <c r="E27" s="162"/>
      <c r="F27" s="332"/>
      <c r="G27" s="343"/>
      <c r="H27" s="184"/>
      <c r="I27" s="164"/>
      <c r="J27" s="185"/>
      <c r="L27" s="162"/>
      <c r="M27" s="162"/>
      <c r="N27" s="186"/>
      <c r="O27" s="164"/>
      <c r="P27" s="162"/>
      <c r="Q27" s="162"/>
      <c r="R27" s="162"/>
      <c r="S27" s="162"/>
    </row>
    <row r="28" spans="1:24" ht="15.6">
      <c r="A28" s="1862" t="s">
        <v>704</v>
      </c>
      <c r="B28" s="1862"/>
      <c r="C28" s="1862"/>
      <c r="D28" s="1862"/>
      <c r="E28" s="1862"/>
      <c r="F28" s="1862"/>
      <c r="G28" s="1862"/>
      <c r="H28" s="1862"/>
      <c r="I28" s="1862"/>
      <c r="J28" s="1862"/>
      <c r="K28" s="1862"/>
      <c r="L28" s="1862"/>
      <c r="M28" s="1862"/>
      <c r="N28" s="1862"/>
      <c r="O28" s="1862"/>
      <c r="P28" s="1862"/>
      <c r="Q28" s="1862"/>
      <c r="R28" s="1862"/>
      <c r="S28" s="1862"/>
      <c r="T28" s="1862"/>
      <c r="U28" s="1862"/>
      <c r="V28" s="1862"/>
      <c r="W28" s="1862"/>
      <c r="X28" s="162"/>
    </row>
    <row r="29" spans="1:24" ht="15.6">
      <c r="A29" s="1862" t="s">
        <v>705</v>
      </c>
      <c r="B29" s="1862"/>
      <c r="C29" s="1862"/>
      <c r="D29" s="1862"/>
      <c r="E29" s="1862"/>
      <c r="F29" s="1862"/>
      <c r="G29" s="1862"/>
      <c r="H29" s="1862"/>
      <c r="I29" s="1862"/>
      <c r="J29" s="1862"/>
      <c r="K29" s="1862"/>
      <c r="L29" s="1862"/>
      <c r="M29" s="1862"/>
      <c r="N29" s="1862"/>
      <c r="O29" s="1862"/>
      <c r="P29" s="1862"/>
      <c r="Q29" s="1862"/>
      <c r="R29" s="1862"/>
      <c r="S29" s="1862"/>
      <c r="T29" s="1862"/>
      <c r="U29" s="1862"/>
      <c r="V29" s="1862"/>
      <c r="W29" s="1862"/>
      <c r="X29" s="162"/>
    </row>
    <row r="30" spans="1:24" ht="15.6">
      <c r="A30" s="1866" t="s">
        <v>706</v>
      </c>
      <c r="B30" s="1866"/>
      <c r="C30" s="1866"/>
      <c r="D30" s="1866"/>
      <c r="E30" s="1866"/>
      <c r="F30" s="1866"/>
      <c r="G30" s="1866"/>
      <c r="H30" s="1866"/>
      <c r="I30" s="1866"/>
      <c r="J30" s="1866"/>
      <c r="K30" s="1866"/>
      <c r="L30" s="1866"/>
      <c r="M30" s="1866"/>
      <c r="N30" s="1866"/>
      <c r="O30" s="1866"/>
      <c r="P30" s="1866"/>
      <c r="Q30" s="1866"/>
      <c r="R30" s="1866"/>
      <c r="S30" s="1866"/>
      <c r="T30" s="1866"/>
      <c r="U30" s="1866"/>
      <c r="V30" s="1866"/>
      <c r="W30" s="1866"/>
      <c r="X30" s="162"/>
    </row>
    <row r="31" spans="1:24" ht="13.2" customHeight="1">
      <c r="A31" s="332"/>
      <c r="B31" s="332"/>
      <c r="C31" s="332"/>
      <c r="D31" s="332"/>
      <c r="E31" s="332"/>
      <c r="F31" s="332"/>
      <c r="G31" s="332"/>
      <c r="H31" s="332"/>
      <c r="I31" s="332"/>
      <c r="J31" s="332"/>
      <c r="K31" s="332"/>
      <c r="L31" s="332"/>
      <c r="M31" s="332"/>
      <c r="N31" s="332"/>
      <c r="O31" s="332"/>
      <c r="P31" s="332"/>
      <c r="Q31" s="332"/>
      <c r="R31" s="332"/>
      <c r="S31" s="332"/>
      <c r="T31" s="332"/>
      <c r="U31" s="332"/>
      <c r="V31" s="332"/>
      <c r="W31" s="332"/>
      <c r="X31" s="162"/>
    </row>
    <row r="32" spans="1:24" ht="13.2" customHeight="1">
      <c r="A32" s="332"/>
      <c r="B32" s="332"/>
      <c r="C32" s="332"/>
      <c r="D32" s="332"/>
      <c r="E32" s="332"/>
      <c r="F32" s="332"/>
      <c r="G32" s="332"/>
      <c r="H32" s="332"/>
      <c r="I32" s="332"/>
      <c r="J32" s="332"/>
      <c r="K32" s="332"/>
      <c r="L32" s="332"/>
      <c r="M32" s="332"/>
      <c r="N32" s="332"/>
      <c r="O32" s="332"/>
      <c r="P32" s="332"/>
      <c r="Q32" s="332"/>
      <c r="R32" s="332"/>
      <c r="S32" s="332"/>
      <c r="T32" s="332"/>
      <c r="U32" s="332"/>
      <c r="V32" s="332"/>
      <c r="W32" s="332"/>
      <c r="X32" s="162"/>
    </row>
    <row r="33" spans="1:24" ht="13.2" customHeight="1">
      <c r="A33" s="332"/>
      <c r="B33" s="332"/>
      <c r="C33" s="332"/>
      <c r="D33" s="332"/>
      <c r="E33" s="332"/>
      <c r="F33" s="332"/>
      <c r="G33" s="332"/>
      <c r="H33" s="332"/>
      <c r="I33" s="332"/>
      <c r="J33" s="332"/>
      <c r="K33" s="332"/>
      <c r="L33" s="332"/>
      <c r="M33" s="332"/>
      <c r="N33" s="332"/>
      <c r="O33" s="332"/>
      <c r="P33" s="332"/>
      <c r="Q33" s="332"/>
      <c r="R33" s="332"/>
      <c r="S33" s="332"/>
      <c r="T33" s="332"/>
      <c r="U33" s="332"/>
      <c r="V33" s="332"/>
      <c r="W33" s="332"/>
      <c r="X33" s="162"/>
    </row>
    <row r="34" spans="1:24" ht="13.2" customHeight="1">
      <c r="A34" s="332"/>
      <c r="B34" s="332"/>
      <c r="C34" s="332"/>
      <c r="D34" s="332"/>
      <c r="E34" s="332"/>
      <c r="F34" s="332"/>
      <c r="G34" s="332"/>
      <c r="H34" s="332"/>
      <c r="I34" s="332"/>
      <c r="J34" s="332"/>
      <c r="K34" s="332"/>
      <c r="L34" s="332"/>
      <c r="M34" s="332"/>
      <c r="N34" s="332"/>
      <c r="O34" s="332"/>
      <c r="P34" s="332"/>
      <c r="Q34" s="332"/>
      <c r="R34" s="332"/>
      <c r="S34" s="332"/>
      <c r="T34" s="332"/>
      <c r="U34" s="332"/>
      <c r="V34" s="332"/>
      <c r="W34" s="332"/>
      <c r="X34" s="162"/>
    </row>
    <row r="35" spans="1:24" ht="13.2" customHeight="1">
      <c r="A35" s="332"/>
      <c r="B35" s="332"/>
      <c r="C35" s="332"/>
      <c r="D35" s="332"/>
      <c r="E35" s="332"/>
      <c r="F35" s="332"/>
      <c r="G35" s="332"/>
      <c r="H35" s="332"/>
      <c r="I35" s="332"/>
      <c r="J35" s="332"/>
      <c r="K35" s="332"/>
      <c r="L35" s="332"/>
      <c r="M35" s="332"/>
      <c r="N35" s="332"/>
      <c r="O35" s="332"/>
      <c r="P35" s="332"/>
      <c r="Q35" s="332"/>
      <c r="R35" s="332"/>
      <c r="S35" s="332"/>
      <c r="T35" s="332"/>
      <c r="U35" s="332"/>
      <c r="V35" s="332"/>
      <c r="W35" s="332"/>
      <c r="X35" s="162"/>
    </row>
    <row r="36" spans="1:24" ht="13.2" customHeight="1">
      <c r="A36" s="332"/>
      <c r="B36" s="332"/>
      <c r="C36" s="332"/>
      <c r="D36" s="332"/>
      <c r="E36" s="332"/>
      <c r="F36" s="332"/>
      <c r="G36" s="332"/>
      <c r="H36" s="332"/>
      <c r="I36" s="332"/>
      <c r="J36" s="332"/>
      <c r="K36" s="332"/>
      <c r="L36" s="332"/>
      <c r="M36" s="332"/>
      <c r="N36" s="332"/>
      <c r="O36" s="332"/>
      <c r="P36" s="332"/>
      <c r="Q36" s="332"/>
      <c r="R36" s="332"/>
      <c r="S36" s="332"/>
      <c r="T36" s="332"/>
      <c r="U36" s="332"/>
      <c r="V36" s="332"/>
      <c r="W36" s="332"/>
      <c r="X36" s="162"/>
    </row>
    <row r="37" spans="1:24" ht="13.2" customHeight="1">
      <c r="A37" s="332"/>
      <c r="B37" s="332"/>
      <c r="C37" s="332"/>
      <c r="D37" s="332"/>
      <c r="E37" s="332"/>
      <c r="F37" s="332"/>
      <c r="G37" s="332"/>
      <c r="H37" s="332"/>
      <c r="I37" s="332"/>
      <c r="J37" s="332"/>
      <c r="K37" s="332"/>
      <c r="L37" s="332"/>
      <c r="M37" s="332"/>
      <c r="N37" s="332"/>
      <c r="O37" s="332"/>
      <c r="P37" s="332"/>
      <c r="Q37" s="332"/>
      <c r="R37" s="332"/>
      <c r="S37" s="332"/>
      <c r="T37" s="332"/>
      <c r="U37" s="332"/>
      <c r="V37" s="332"/>
      <c r="W37" s="332"/>
      <c r="X37" s="162"/>
    </row>
    <row r="38" spans="1:24" ht="13.2" customHeight="1"/>
    <row r="39" spans="1:24" ht="13.5" customHeight="1">
      <c r="B39" s="344" t="s">
        <v>679</v>
      </c>
      <c r="D39" s="166"/>
      <c r="E39" s="166"/>
      <c r="F39" s="166"/>
      <c r="G39" s="166"/>
      <c r="J39" s="162"/>
      <c r="K39" s="162"/>
      <c r="L39" s="162"/>
      <c r="N39" s="344" t="s">
        <v>707</v>
      </c>
      <c r="O39" s="162"/>
      <c r="P39" s="162"/>
      <c r="Q39" s="162"/>
      <c r="R39" s="162"/>
      <c r="S39" s="162"/>
      <c r="T39" s="1201"/>
    </row>
    <row r="40" spans="1:24" ht="27" customHeight="1">
      <c r="E40" s="1202"/>
      <c r="F40" s="1202"/>
      <c r="G40" s="1202"/>
      <c r="H40" s="521">
        <f>Relay_Location</f>
        <v>0</v>
      </c>
      <c r="J40" s="898"/>
      <c r="L40" s="167">
        <f>Remote_Location</f>
        <v>0</v>
      </c>
      <c r="O40" s="162"/>
      <c r="P40" s="162"/>
      <c r="Q40" s="162"/>
      <c r="R40" s="1867" t="s">
        <v>681</v>
      </c>
      <c r="S40" s="1867"/>
      <c r="T40" s="1867"/>
    </row>
    <row r="41" spans="1:24" ht="13.2" customHeight="1">
      <c r="B41" s="168" t="s">
        <v>682</v>
      </c>
      <c r="C41" s="169"/>
      <c r="D41" s="168" t="s">
        <v>683</v>
      </c>
      <c r="E41" s="170"/>
      <c r="F41" s="343"/>
      <c r="H41" s="166" t="s">
        <v>684</v>
      </c>
      <c r="K41" s="161" t="s">
        <v>708</v>
      </c>
      <c r="L41" s="162" t="s">
        <v>685</v>
      </c>
      <c r="N41" s="168" t="s">
        <v>686</v>
      </c>
      <c r="O41" s="162"/>
      <c r="P41" s="345" t="s">
        <v>709</v>
      </c>
      <c r="Q41" s="171"/>
      <c r="R41" s="898" t="s">
        <v>688</v>
      </c>
      <c r="S41" s="898"/>
      <c r="T41" s="899" t="s">
        <v>689</v>
      </c>
      <c r="X41" s="1097" t="s">
        <v>690</v>
      </c>
    </row>
    <row r="42" spans="1:24" ht="13.95" customHeight="1" thickBot="1">
      <c r="A42" s="164" t="s">
        <v>691</v>
      </c>
      <c r="B42" s="1203">
        <v>0.77600000000000002</v>
      </c>
      <c r="C42" s="172" t="s">
        <v>620</v>
      </c>
      <c r="D42" s="1203">
        <v>5</v>
      </c>
      <c r="E42" s="1204" t="s">
        <v>452</v>
      </c>
      <c r="F42" s="332"/>
      <c r="G42" s="173" t="s">
        <v>692</v>
      </c>
      <c r="H42" s="174"/>
      <c r="I42" s="324"/>
      <c r="J42" s="1213"/>
      <c r="K42" s="340"/>
      <c r="L42" s="1214"/>
      <c r="M42" s="334" t="s">
        <v>691</v>
      </c>
      <c r="N42" s="1203">
        <v>5.41</v>
      </c>
      <c r="O42" s="333" t="str">
        <f>IF(R42=MAX($R$42:$R$49),"Long","")</f>
        <v>Long</v>
      </c>
      <c r="P42" s="1207" t="str">
        <f>IF('1) Data Entry'!E121="","",'1) Data Entry'!E121)</f>
        <v/>
      </c>
      <c r="Q42" s="897"/>
      <c r="R42" s="1056"/>
      <c r="S42" s="897" t="s">
        <v>452</v>
      </c>
      <c r="T42" s="1057"/>
      <c r="V42" s="162" t="str">
        <f>IF(R42=MAX($R42:$R49),"longest line w/infeed","")</f>
        <v>longest line w/infeed</v>
      </c>
      <c r="X42" s="1057"/>
    </row>
    <row r="43" spans="1:24" ht="13.95" customHeight="1" thickTop="1" thickBot="1">
      <c r="A43" s="164" t="s">
        <v>693</v>
      </c>
      <c r="B43" s="1203"/>
      <c r="C43" s="172" t="s">
        <v>620</v>
      </c>
      <c r="D43" s="1203"/>
      <c r="E43" s="1204" t="s">
        <v>452</v>
      </c>
      <c r="F43" s="332"/>
      <c r="G43" s="173" t="s">
        <v>692</v>
      </c>
      <c r="H43" s="176"/>
      <c r="I43" s="177"/>
      <c r="J43" s="335"/>
      <c r="K43" s="341"/>
      <c r="L43" s="338"/>
      <c r="M43" s="334" t="s">
        <v>693</v>
      </c>
      <c r="N43" s="1203"/>
      <c r="O43" s="333" t="str">
        <f t="shared" ref="O43:O49" si="2">IF(R43=MAX($R$42:$R$49),"Long","")</f>
        <v>Long</v>
      </c>
      <c r="P43" s="1215" t="str">
        <f>IF('1) Data Entry'!E129="","",'1) Data Entry'!E129)</f>
        <v/>
      </c>
      <c r="Q43" s="897"/>
      <c r="R43" s="1056"/>
      <c r="S43" s="897" t="s">
        <v>452</v>
      </c>
      <c r="T43" s="1057"/>
      <c r="V43" s="162" t="str">
        <f>IF(R43=MAX($R42:$R49),"longest line w/infeed","")</f>
        <v>longest line w/infeed</v>
      </c>
      <c r="X43" s="1057"/>
    </row>
    <row r="44" spans="1:24" ht="13.95" customHeight="1" thickTop="1">
      <c r="A44" s="164" t="s">
        <v>694</v>
      </c>
      <c r="B44" s="1203"/>
      <c r="C44" s="172" t="s">
        <v>620</v>
      </c>
      <c r="D44" s="1203"/>
      <c r="E44" s="1204" t="s">
        <v>452</v>
      </c>
      <c r="F44" s="332"/>
      <c r="G44" s="173" t="s">
        <v>692</v>
      </c>
      <c r="H44" s="179"/>
      <c r="I44" s="180"/>
      <c r="J44" s="1216"/>
      <c r="K44" s="181"/>
      <c r="L44" s="338"/>
      <c r="M44" s="334" t="s">
        <v>694</v>
      </c>
      <c r="N44" s="1203"/>
      <c r="O44" s="333" t="str">
        <f t="shared" si="2"/>
        <v>Long</v>
      </c>
      <c r="P44" s="1215" t="str">
        <f>IF('1) Data Entry'!E137="","",'1) Data Entry'!E137)</f>
        <v/>
      </c>
      <c r="Q44" s="897"/>
      <c r="R44" s="1056"/>
      <c r="S44" s="897" t="s">
        <v>452</v>
      </c>
      <c r="T44" s="1057"/>
      <c r="V44" s="162" t="str">
        <f>IF(R44=MAX($R42:$R49),"longest line w/infeed","")</f>
        <v>longest line w/infeed</v>
      </c>
      <c r="X44" s="1057"/>
    </row>
    <row r="45" spans="1:24" ht="13.95" customHeight="1" thickBot="1">
      <c r="A45" s="164" t="s">
        <v>695</v>
      </c>
      <c r="B45" s="1203"/>
      <c r="C45" s="172" t="s">
        <v>620</v>
      </c>
      <c r="D45" s="1203"/>
      <c r="E45" s="1204" t="s">
        <v>452</v>
      </c>
      <c r="F45" s="332"/>
      <c r="G45" s="173" t="s">
        <v>692</v>
      </c>
      <c r="H45" s="182"/>
      <c r="I45" s="168"/>
      <c r="J45" s="336"/>
      <c r="K45" s="1863" t="s">
        <v>710</v>
      </c>
      <c r="L45" s="1864"/>
      <c r="M45" s="334" t="s">
        <v>695</v>
      </c>
      <c r="N45" s="1203"/>
      <c r="O45" s="333" t="str">
        <f t="shared" si="2"/>
        <v>Long</v>
      </c>
      <c r="P45" s="1215" t="str">
        <f>IF('1) Data Entry'!E145="","",'1) Data Entry'!E145)</f>
        <v/>
      </c>
      <c r="Q45" s="897"/>
      <c r="R45" s="1056"/>
      <c r="S45" s="897" t="s">
        <v>452</v>
      </c>
      <c r="T45" s="1057"/>
      <c r="V45" s="162" t="str">
        <f>IF(R45=MAX($R42:$R49),"longest line w/infeed","")</f>
        <v>longest line w/infeed</v>
      </c>
      <c r="X45" s="1057"/>
    </row>
    <row r="46" spans="1:24" ht="13.95" customHeight="1" thickTop="1">
      <c r="A46" s="164" t="s">
        <v>696</v>
      </c>
      <c r="B46" s="1203"/>
      <c r="C46" s="172" t="s">
        <v>620</v>
      </c>
      <c r="D46" s="1203"/>
      <c r="E46" s="1204" t="s">
        <v>452</v>
      </c>
      <c r="F46" s="332"/>
      <c r="G46" s="173" t="s">
        <v>692</v>
      </c>
      <c r="H46" s="182"/>
      <c r="I46" s="168"/>
      <c r="J46" s="163"/>
      <c r="K46" s="337"/>
      <c r="L46" s="339"/>
      <c r="M46" s="334" t="s">
        <v>696</v>
      </c>
      <c r="N46" s="1203"/>
      <c r="O46" s="333" t="str">
        <f t="shared" si="2"/>
        <v>Long</v>
      </c>
      <c r="P46" s="1215" t="str">
        <f>IF('1) Data Entry'!E153="","",'1) Data Entry'!E153)</f>
        <v/>
      </c>
      <c r="Q46" s="897"/>
      <c r="R46" s="1056"/>
      <c r="S46" s="897" t="s">
        <v>452</v>
      </c>
      <c r="T46" s="1057"/>
      <c r="V46" s="162" t="str">
        <f>IF(R46=MAX($R42:$R49),"longest line w/infeed","")</f>
        <v>longest line w/infeed</v>
      </c>
      <c r="X46" s="1057"/>
    </row>
    <row r="47" spans="1:24" ht="13.95" customHeight="1">
      <c r="A47" s="164" t="s">
        <v>697</v>
      </c>
      <c r="B47" s="1203"/>
      <c r="C47" s="172" t="s">
        <v>620</v>
      </c>
      <c r="D47" s="1203"/>
      <c r="E47" s="1204" t="s">
        <v>452</v>
      </c>
      <c r="F47" s="332"/>
      <c r="G47" s="173" t="s">
        <v>692</v>
      </c>
      <c r="H47" s="162"/>
      <c r="I47" s="163" t="s">
        <v>243</v>
      </c>
      <c r="J47" s="163"/>
      <c r="K47" s="183"/>
      <c r="L47" s="338"/>
      <c r="M47" s="334" t="s">
        <v>697</v>
      </c>
      <c r="N47" s="1203"/>
      <c r="O47" s="333" t="str">
        <f t="shared" si="2"/>
        <v>Long</v>
      </c>
      <c r="P47" s="1215" t="str">
        <f>IF('1) Data Entry'!E161="","",'1) Data Entry'!E161)</f>
        <v/>
      </c>
      <c r="Q47" s="897"/>
      <c r="R47" s="1056"/>
      <c r="S47" s="897" t="s">
        <v>452</v>
      </c>
      <c r="T47" s="1057"/>
      <c r="V47" s="162" t="str">
        <f>IF(R47=MAX($R42:$R49),"longest line w/infeed","")</f>
        <v>longest line w/infeed</v>
      </c>
      <c r="X47" s="1057"/>
    </row>
    <row r="48" spans="1:24" ht="13.95" customHeight="1">
      <c r="A48" s="164" t="s">
        <v>698</v>
      </c>
      <c r="B48" s="1367"/>
      <c r="C48" s="172" t="s">
        <v>620</v>
      </c>
      <c r="D48" s="1367"/>
      <c r="E48" s="1204" t="s">
        <v>452</v>
      </c>
      <c r="F48" s="332"/>
      <c r="G48" s="173" t="s">
        <v>692</v>
      </c>
      <c r="H48" s="162"/>
      <c r="I48" s="163"/>
      <c r="J48" s="163"/>
      <c r="K48" s="183"/>
      <c r="L48" s="338"/>
      <c r="M48" s="334" t="s">
        <v>698</v>
      </c>
      <c r="N48" s="1367"/>
      <c r="O48" s="333" t="str">
        <f t="shared" si="2"/>
        <v>Long</v>
      </c>
      <c r="P48" s="1215" t="str">
        <f>IF('1) Data Entry'!E169="","",'1) Data Entry'!E169)</f>
        <v/>
      </c>
      <c r="Q48" s="897"/>
      <c r="R48" s="1056"/>
      <c r="S48" s="897" t="s">
        <v>452</v>
      </c>
      <c r="T48" s="1057"/>
      <c r="V48" s="162" t="str">
        <f>IF(R48=MAX($R42:$R49),"longest line w/infeed","")</f>
        <v>longest line w/infeed</v>
      </c>
      <c r="X48" s="1057"/>
    </row>
    <row r="49" spans="1:24" ht="13.95" customHeight="1">
      <c r="A49" s="164" t="s">
        <v>699</v>
      </c>
      <c r="B49" s="1367"/>
      <c r="C49" s="172" t="s">
        <v>620</v>
      </c>
      <c r="D49" s="1367"/>
      <c r="E49" s="1204" t="s">
        <v>452</v>
      </c>
      <c r="F49" s="332"/>
      <c r="G49" s="173" t="s">
        <v>692</v>
      </c>
      <c r="H49" s="162"/>
      <c r="I49" s="163"/>
      <c r="J49" s="163"/>
      <c r="K49" s="183"/>
      <c r="L49" s="338"/>
      <c r="M49" s="334" t="s">
        <v>699</v>
      </c>
      <c r="N49" s="1367"/>
      <c r="O49" s="333" t="str">
        <f t="shared" si="2"/>
        <v>Long</v>
      </c>
      <c r="P49" s="1215" t="str">
        <f>IF('1) Data Entry'!E177="","",'1) Data Entry'!E177)</f>
        <v/>
      </c>
      <c r="Q49" s="897"/>
      <c r="R49" s="1056"/>
      <c r="S49" s="897" t="s">
        <v>452</v>
      </c>
      <c r="T49" s="1057"/>
      <c r="V49" s="162" t="str">
        <f>IF(R49=MAX($R42:$R49),"longest line w/infeed","")</f>
        <v>longest line w/infeed</v>
      </c>
      <c r="X49" s="1057"/>
    </row>
    <row r="475" spans="39:52">
      <c r="AM475"/>
      <c r="AN475"/>
      <c r="AO475"/>
      <c r="AP475"/>
      <c r="AQ475"/>
      <c r="AR475"/>
      <c r="AS475"/>
      <c r="AT475"/>
      <c r="AU475"/>
      <c r="AV475"/>
      <c r="AW475"/>
      <c r="AX475"/>
      <c r="AY475"/>
      <c r="AZ475"/>
    </row>
    <row r="476" spans="39:52">
      <c r="AM476"/>
      <c r="AN476"/>
      <c r="AO476"/>
      <c r="AP476"/>
      <c r="AQ476"/>
      <c r="AR476"/>
      <c r="AS476"/>
      <c r="AT476"/>
      <c r="AU476"/>
      <c r="AV476"/>
      <c r="AW476"/>
      <c r="AX476"/>
      <c r="AY476"/>
      <c r="AZ476"/>
    </row>
    <row r="477" spans="39:52">
      <c r="AM477"/>
      <c r="AN477"/>
      <c r="AO477"/>
      <c r="AP477"/>
      <c r="AQ477"/>
      <c r="AR477"/>
      <c r="AS477"/>
      <c r="AT477"/>
      <c r="AU477"/>
      <c r="AV477"/>
      <c r="AW477"/>
      <c r="AX477"/>
      <c r="AY477"/>
      <c r="AZ477"/>
    </row>
    <row r="478" spans="39:52">
      <c r="AM478"/>
      <c r="AN478"/>
      <c r="AO478"/>
      <c r="AP478"/>
      <c r="AQ478"/>
      <c r="AR478"/>
      <c r="AS478"/>
      <c r="AT478"/>
      <c r="AU478"/>
      <c r="AV478"/>
      <c r="AW478"/>
      <c r="AX478"/>
      <c r="AY478"/>
      <c r="AZ478"/>
    </row>
    <row r="479" spans="39:52">
      <c r="AM479"/>
      <c r="AN479"/>
      <c r="AO479"/>
      <c r="AP479"/>
      <c r="AQ479"/>
      <c r="AR479"/>
      <c r="AS479"/>
      <c r="AT479"/>
      <c r="AU479"/>
      <c r="AV479"/>
      <c r="AW479"/>
      <c r="AX479"/>
      <c r="AY479"/>
      <c r="AZ479"/>
    </row>
    <row r="480" spans="39:52">
      <c r="AM480"/>
      <c r="AN480"/>
      <c r="AO480"/>
      <c r="AP480"/>
      <c r="AQ480"/>
      <c r="AR480"/>
      <c r="AS480"/>
      <c r="AT480"/>
      <c r="AU480"/>
      <c r="AV480"/>
      <c r="AW480"/>
      <c r="AX480"/>
      <c r="AY480"/>
      <c r="AZ480"/>
    </row>
    <row r="481" spans="39:52">
      <c r="AM481"/>
      <c r="AN481"/>
      <c r="AO481"/>
      <c r="AP481"/>
      <c r="AQ481"/>
      <c r="AR481"/>
      <c r="AS481"/>
      <c r="AT481"/>
      <c r="AU481"/>
      <c r="AV481"/>
      <c r="AW481"/>
      <c r="AX481"/>
      <c r="AY481"/>
      <c r="AZ481"/>
    </row>
    <row r="482" spans="39:52">
      <c r="AM482"/>
      <c r="AN482"/>
      <c r="AO482"/>
      <c r="AP482"/>
      <c r="AQ482"/>
      <c r="AR482"/>
      <c r="AS482"/>
      <c r="AT482"/>
      <c r="AU482"/>
      <c r="AV482"/>
      <c r="AW482"/>
      <c r="AX482"/>
      <c r="AY482"/>
      <c r="AZ482"/>
    </row>
    <row r="483" spans="39:52">
      <c r="AM483"/>
      <c r="AN483"/>
      <c r="AO483"/>
      <c r="AP483"/>
      <c r="AQ483"/>
      <c r="AR483"/>
      <c r="AS483"/>
      <c r="AT483"/>
      <c r="AU483"/>
      <c r="AV483"/>
      <c r="AW483"/>
      <c r="AX483"/>
      <c r="AY483"/>
      <c r="AZ483"/>
    </row>
    <row r="484" spans="39:52">
      <c r="AM484"/>
      <c r="AN484"/>
      <c r="AO484"/>
      <c r="AP484"/>
      <c r="AQ484"/>
      <c r="AR484"/>
      <c r="AS484"/>
      <c r="AT484"/>
      <c r="AU484"/>
      <c r="AV484"/>
      <c r="AW484"/>
      <c r="AX484"/>
      <c r="AY484"/>
      <c r="AZ484"/>
    </row>
    <row r="485" spans="39:52">
      <c r="AM485"/>
      <c r="AN485"/>
      <c r="AO485"/>
      <c r="AP485"/>
      <c r="AQ485"/>
      <c r="AR485"/>
      <c r="AS485"/>
      <c r="AT485"/>
      <c r="AU485"/>
      <c r="AV485"/>
      <c r="AW485"/>
      <c r="AX485"/>
      <c r="AY485"/>
      <c r="AZ485"/>
    </row>
    <row r="486" spans="39:52">
      <c r="AM486"/>
      <c r="AN486"/>
      <c r="AO486"/>
      <c r="AP486"/>
      <c r="AQ486"/>
      <c r="AR486"/>
      <c r="AS486"/>
      <c r="AT486"/>
      <c r="AU486"/>
      <c r="AV486"/>
      <c r="AW486"/>
      <c r="AX486"/>
      <c r="AY486"/>
      <c r="AZ486"/>
    </row>
    <row r="487" spans="39:52">
      <c r="AM487"/>
      <c r="AN487"/>
      <c r="AO487"/>
      <c r="AP487"/>
      <c r="AQ487"/>
      <c r="AR487"/>
      <c r="AS487"/>
      <c r="AT487"/>
      <c r="AU487"/>
      <c r="AV487"/>
      <c r="AW487"/>
      <c r="AX487"/>
      <c r="AY487"/>
      <c r="AZ487"/>
    </row>
    <row r="488" spans="39:52">
      <c r="AM488"/>
      <c r="AN488"/>
      <c r="AO488"/>
      <c r="AP488"/>
      <c r="AQ488"/>
      <c r="AR488"/>
      <c r="AS488"/>
      <c r="AT488"/>
      <c r="AU488"/>
      <c r="AV488"/>
      <c r="AW488"/>
      <c r="AX488"/>
      <c r="AY488"/>
      <c r="AZ488"/>
    </row>
    <row r="489" spans="39:52">
      <c r="AM489"/>
      <c r="AN489"/>
      <c r="AO489"/>
      <c r="AP489"/>
      <c r="AQ489"/>
      <c r="AR489"/>
      <c r="AS489"/>
      <c r="AT489"/>
      <c r="AU489"/>
      <c r="AV489"/>
      <c r="AW489"/>
      <c r="AX489"/>
      <c r="AY489"/>
      <c r="AZ489"/>
    </row>
    <row r="490" spans="39:52">
      <c r="AM490"/>
      <c r="AN490"/>
      <c r="AO490"/>
      <c r="AP490"/>
      <c r="AQ490"/>
      <c r="AR490"/>
      <c r="AS490"/>
      <c r="AT490"/>
      <c r="AU490"/>
      <c r="AV490"/>
      <c r="AW490"/>
      <c r="AX490"/>
      <c r="AY490"/>
      <c r="AZ490"/>
    </row>
    <row r="491" spans="39:52">
      <c r="AM491"/>
      <c r="AN491"/>
      <c r="AO491"/>
      <c r="AP491"/>
      <c r="AQ491"/>
      <c r="AR491"/>
      <c r="AS491"/>
      <c r="AT491"/>
      <c r="AU491"/>
      <c r="AV491"/>
      <c r="AW491"/>
      <c r="AX491"/>
      <c r="AY491"/>
      <c r="AZ491"/>
    </row>
    <row r="492" spans="39:52">
      <c r="AM492"/>
      <c r="AN492"/>
      <c r="AO492"/>
      <c r="AP492"/>
      <c r="AQ492"/>
      <c r="AR492"/>
      <c r="AS492"/>
      <c r="AT492"/>
      <c r="AU492"/>
      <c r="AV492"/>
      <c r="AW492"/>
      <c r="AX492"/>
      <c r="AY492"/>
      <c r="AZ492"/>
    </row>
    <row r="493" spans="39:52">
      <c r="AM493"/>
      <c r="AN493"/>
      <c r="AO493"/>
      <c r="AP493"/>
      <c r="AQ493"/>
      <c r="AR493"/>
      <c r="AS493"/>
      <c r="AT493"/>
      <c r="AU493"/>
      <c r="AV493"/>
      <c r="AW493"/>
      <c r="AX493"/>
      <c r="AY493"/>
      <c r="AZ493"/>
    </row>
  </sheetData>
  <sheetProtection algorithmName="SHA-512" hashValue="Y3+1u4DGrUEAYly1UtlErt0TG6iImP+FsbgZUgsCBItFaygKtASjlX55LBNw7aha1n9vjRWMwkGyte7tfc7EFw==" saltValue="/sjswu00X7wV/XecaCozMw==" spinCount="100000" sheet="1" objects="1" scenarios="1"/>
  <mergeCells count="9">
    <mergeCell ref="A29:W29"/>
    <mergeCell ref="K45:L45"/>
    <mergeCell ref="A1:W1"/>
    <mergeCell ref="A3:W3"/>
    <mergeCell ref="A4:W4"/>
    <mergeCell ref="A28:W28"/>
    <mergeCell ref="A30:W30"/>
    <mergeCell ref="R13:T13"/>
    <mergeCell ref="R40:T40"/>
  </mergeCells>
  <phoneticPr fontId="11" type="noConversion"/>
  <printOptions horizontalCentered="1"/>
  <pageMargins left="0.7" right="0.7" top="0.75" bottom="0.75" header="0.3" footer="0.3"/>
  <pageSetup paperSize="17" scale="80" orientation="landscape" r:id="rId1"/>
  <headerFooter alignWithMargins="0">
    <oddFooter>&amp;RFilename: &amp;F
Tab:&amp;A</oddFooter>
  </headerFooter>
  <ignoredErrors>
    <ignoredError sqref="P42:P49 P15:P26" unlockedFormula="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BL761"/>
  <sheetViews>
    <sheetView showGridLines="0" zoomScaleNormal="100" zoomScaleSheetLayoutView="90" workbookViewId="0">
      <selection activeCell="M35" sqref="M35"/>
    </sheetView>
  </sheetViews>
  <sheetFormatPr defaultColWidth="6.44140625" defaultRowHeight="12" customHeight="1"/>
  <cols>
    <col min="1" max="1" width="14.44140625" customWidth="1"/>
    <col min="2" max="2" width="5" style="33" customWidth="1"/>
    <col min="3" max="3" width="9.33203125" style="33" customWidth="1"/>
    <col min="4" max="4" width="3" style="37" customWidth="1"/>
    <col min="5" max="5" width="11.44140625" style="53" customWidth="1"/>
    <col min="6" max="6" width="3.109375" style="51" customWidth="1"/>
    <col min="7" max="7" width="11" style="36" customWidth="1"/>
    <col min="8" max="8" width="3.5546875" style="37" customWidth="1"/>
    <col min="9" max="9" width="11" customWidth="1"/>
    <col min="10" max="10" width="3.6640625" style="20" customWidth="1"/>
    <col min="11" max="11" width="10.88671875" style="38" customWidth="1"/>
    <col min="12" max="12" width="5.33203125" customWidth="1"/>
    <col min="13" max="13" width="11.44140625" customWidth="1"/>
    <col min="14" max="14" width="4" customWidth="1"/>
    <col min="15" max="15" width="11" customWidth="1"/>
    <col min="16" max="16" width="2.88671875" customWidth="1"/>
    <col min="17" max="17" width="11.109375" customWidth="1"/>
    <col min="18" max="18" width="2.6640625" customWidth="1"/>
    <col min="19" max="19" width="11.109375" customWidth="1"/>
    <col min="20" max="20" width="2.33203125" customWidth="1"/>
    <col min="21" max="21" width="12.44140625" customWidth="1"/>
    <col min="22" max="22" width="2.6640625" customWidth="1"/>
    <col min="23" max="23" width="7.33203125" style="605" customWidth="1"/>
    <col min="24" max="24" width="6.44140625" customWidth="1"/>
    <col min="25" max="25" width="11.88671875" style="611" bestFit="1" customWidth="1"/>
    <col min="26" max="26" width="6.44140625" customWidth="1"/>
    <col min="27" max="27" width="11.5546875" hidden="1" customWidth="1"/>
    <col min="28" max="28" width="12.33203125" hidden="1" customWidth="1"/>
    <col min="29" max="31" width="6.44140625" customWidth="1"/>
    <col min="32" max="32" width="8.44140625" bestFit="1" customWidth="1"/>
    <col min="33" max="51" width="6.44140625" customWidth="1"/>
    <col min="52" max="52" width="8.109375" customWidth="1"/>
    <col min="53" max="53" width="8.88671875" customWidth="1"/>
    <col min="54" max="54" width="17" customWidth="1"/>
    <col min="55" max="55" width="6.44140625" customWidth="1"/>
    <col min="56" max="56" width="15" customWidth="1"/>
    <col min="57" max="57" width="9.6640625" customWidth="1"/>
    <col min="58" max="58" width="13.5546875" customWidth="1"/>
    <col min="59" max="59" width="12.44140625" customWidth="1"/>
    <col min="60" max="65" width="9.88671875" customWidth="1"/>
  </cols>
  <sheetData>
    <row r="1" spans="1:25" s="7" customFormat="1" ht="18" customHeight="1">
      <c r="A1" s="17" t="s">
        <v>2</v>
      </c>
      <c r="B1" s="2"/>
      <c r="C1" s="2"/>
      <c r="D1" s="3"/>
      <c r="E1" s="4"/>
      <c r="F1" s="5"/>
      <c r="G1" s="6"/>
      <c r="H1" s="3"/>
      <c r="J1" s="5"/>
      <c r="K1" s="8" t="s">
        <v>1</v>
      </c>
      <c r="O1" s="9"/>
      <c r="P1" s="9"/>
      <c r="Q1" s="9"/>
      <c r="R1" s="9"/>
      <c r="S1" s="9"/>
      <c r="T1" s="9"/>
      <c r="U1" s="9"/>
      <c r="W1" s="604"/>
      <c r="Y1" s="612"/>
    </row>
    <row r="2" spans="1:25" s="14" customFormat="1" ht="12" customHeight="1">
      <c r="A2" s="448"/>
      <c r="B2" s="449"/>
      <c r="C2" s="449"/>
      <c r="D2" s="13"/>
      <c r="E2" s="450"/>
      <c r="F2" s="11"/>
      <c r="G2" s="12"/>
      <c r="H2" s="13"/>
      <c r="J2" s="11"/>
      <c r="M2" s="15"/>
      <c r="O2" s="16"/>
      <c r="P2" s="16"/>
      <c r="Q2" s="16"/>
      <c r="R2" s="16"/>
      <c r="S2" s="16"/>
      <c r="T2" s="16"/>
      <c r="U2" s="16"/>
      <c r="W2" s="605"/>
      <c r="Y2" s="611"/>
    </row>
    <row r="3" spans="1:25" ht="12" customHeight="1">
      <c r="B3"/>
      <c r="C3"/>
      <c r="D3"/>
      <c r="E3"/>
      <c r="F3" s="19"/>
      <c r="G3" s="1505">
        <f>'1) Data Entry'!Relay_Location</f>
        <v>0</v>
      </c>
      <c r="H3" s="1459"/>
      <c r="I3" s="1460"/>
      <c r="J3" s="364"/>
      <c r="K3" s="1217">
        <f>'1) Data Entry'!K3</f>
        <v>0</v>
      </c>
      <c r="M3" s="1505">
        <f>'1) Data Entry'!Remote_Location</f>
        <v>0</v>
      </c>
      <c r="N3" s="1459"/>
      <c r="O3" s="1460"/>
      <c r="R3" s="587" t="s">
        <v>3</v>
      </c>
      <c r="S3" s="1218">
        <f>'1) Data Entry'!S3</f>
        <v>0</v>
      </c>
      <c r="T3" s="21"/>
      <c r="U3" s="22"/>
    </row>
    <row r="4" spans="1:25" ht="12" customHeight="1">
      <c r="A4" s="23"/>
      <c r="B4" s="23"/>
      <c r="C4" s="24"/>
      <c r="D4" s="25"/>
      <c r="E4" s="26"/>
      <c r="F4" s="27"/>
      <c r="G4" s="1586" t="s">
        <v>4</v>
      </c>
      <c r="H4" s="1586"/>
      <c r="I4" s="1586"/>
      <c r="J4" s="28"/>
      <c r="K4" s="29" t="s">
        <v>5</v>
      </c>
      <c r="L4" s="26"/>
      <c r="M4" s="1586" t="s">
        <v>6</v>
      </c>
      <c r="N4" s="1586"/>
      <c r="O4" s="1586"/>
      <c r="P4" s="1123"/>
      <c r="Q4" s="26"/>
      <c r="R4" s="587" t="s">
        <v>7</v>
      </c>
      <c r="S4" s="1219">
        <f>'1) Data Entry'!Calc_By</f>
        <v>0</v>
      </c>
      <c r="T4" s="30"/>
      <c r="U4" s="22"/>
    </row>
    <row r="5" spans="1:25" ht="12" customHeight="1">
      <c r="A5" s="1914" t="s">
        <v>711</v>
      </c>
      <c r="B5" s="1914"/>
      <c r="C5" s="1914"/>
      <c r="D5" s="1915"/>
      <c r="E5" s="1012">
        <f ca="1">HYPERLINK("#"&amp;CELL("address",Nominal_System_Voltage),Nominal_System_Voltage)</f>
        <v>0</v>
      </c>
      <c r="F5" s="35" t="s">
        <v>31</v>
      </c>
      <c r="G5" s="32"/>
      <c r="H5" s="27"/>
      <c r="I5" s="23"/>
      <c r="J5" s="28"/>
      <c r="K5" s="26"/>
      <c r="L5" s="26"/>
      <c r="M5" s="27"/>
      <c r="N5" s="23"/>
      <c r="O5" s="23"/>
      <c r="P5" s="1123"/>
      <c r="Q5" s="26"/>
      <c r="R5" s="587" t="s">
        <v>8</v>
      </c>
      <c r="S5" s="1219">
        <f>'1) Data Entry'!Checked_By</f>
        <v>0</v>
      </c>
      <c r="T5" s="30"/>
      <c r="U5" s="22"/>
    </row>
    <row r="6" spans="1:25" ht="12" customHeight="1">
      <c r="A6" s="1916" t="s">
        <v>712</v>
      </c>
      <c r="B6" s="1629"/>
      <c r="C6" s="1629"/>
      <c r="D6" s="1630"/>
      <c r="E6" s="1010">
        <f ca="1">HYPERLINK("#"&amp;CELL("address",Base_Ohms),Base_Ohms)</f>
        <v>0</v>
      </c>
      <c r="F6" s="35"/>
      <c r="G6" s="32"/>
      <c r="H6" s="27"/>
      <c r="I6" s="23"/>
      <c r="J6" s="28"/>
      <c r="K6" s="26"/>
      <c r="L6" s="26"/>
      <c r="M6" s="27"/>
      <c r="N6" s="23"/>
      <c r="O6" s="23"/>
      <c r="P6" s="1123"/>
      <c r="Q6" s="26"/>
      <c r="R6" s="587"/>
      <c r="S6" s="1220"/>
      <c r="T6" s="30"/>
      <c r="U6" s="22"/>
    </row>
    <row r="7" spans="1:25" ht="12" customHeight="1">
      <c r="A7" s="1916" t="s">
        <v>40</v>
      </c>
      <c r="B7" s="1916"/>
      <c r="C7" s="1916"/>
      <c r="D7" s="1917"/>
      <c r="E7" s="1010">
        <f ca="1">HYPERLINK("#"&amp;CELL("address",LoadabilityLimit),LoadabilityLimit)</f>
        <v>0</v>
      </c>
      <c r="F7" s="35" t="s">
        <v>36</v>
      </c>
      <c r="G7" s="32"/>
      <c r="H7" s="27"/>
      <c r="J7" s="364"/>
      <c r="M7" s="39"/>
    </row>
    <row r="8" spans="1:25" ht="12" customHeight="1">
      <c r="A8" s="1912" t="s">
        <v>713</v>
      </c>
      <c r="B8" s="1912"/>
      <c r="C8" s="1912"/>
      <c r="D8" s="1913"/>
      <c r="E8" s="1010">
        <f ca="1">HYPERLINK("#"&amp;CELL("address",'1) Data Entry'!Line_Limit),'1) Data Entry'!Line_Limit)</f>
        <v>0</v>
      </c>
      <c r="F8" s="35" t="s">
        <v>36</v>
      </c>
      <c r="G8" s="32"/>
      <c r="H8" s="27"/>
      <c r="I8" s="1221" t="s">
        <v>714</v>
      </c>
      <c r="J8" s="1222" t="s">
        <v>365</v>
      </c>
      <c r="K8" s="1129">
        <f>'1) Data Entry'!E59</f>
        <v>0</v>
      </c>
      <c r="L8" s="1223" t="s">
        <v>715</v>
      </c>
      <c r="M8" s="1224">
        <f>VLOOKUP(S9,'1) Data Entry'!AA370:AE381,2,FALSE)</f>
        <v>0</v>
      </c>
      <c r="N8" s="429" t="s">
        <v>461</v>
      </c>
      <c r="O8" s="1154">
        <f>VLOOKUP(S9,'1) Data Entry'!AA370:AE381,3,FALSE)</f>
        <v>0</v>
      </c>
      <c r="P8" s="1123" t="s">
        <v>716</v>
      </c>
      <c r="Q8" s="670"/>
    </row>
    <row r="9" spans="1:25" ht="12" customHeight="1" thickBot="1">
      <c r="A9" s="1901" t="s">
        <v>717</v>
      </c>
      <c r="B9" s="1901"/>
      <c r="C9" s="1901"/>
      <c r="D9" s="1902"/>
      <c r="E9" s="1010">
        <f ca="1">HYPERLINK("#"&amp;CELL("address",'1) Data Entry'!CTR),'1) Data Entry'!CTR)</f>
        <v>0</v>
      </c>
      <c r="F9" s="320" t="s">
        <v>44</v>
      </c>
      <c r="G9" s="319"/>
      <c r="J9" s="364"/>
      <c r="L9" s="50"/>
      <c r="M9" s="430" t="s">
        <v>718</v>
      </c>
      <c r="N9" s="431"/>
      <c r="O9" s="431"/>
      <c r="P9" s="44"/>
      <c r="Q9" s="44"/>
      <c r="R9" s="420"/>
      <c r="S9" s="1884" t="str">
        <f>IF(E15="",E14,E15)</f>
        <v/>
      </c>
      <c r="T9" s="1885"/>
      <c r="U9" s="1885"/>
    </row>
    <row r="10" spans="1:25" ht="12" customHeight="1" thickTop="1">
      <c r="A10" s="1901" t="s">
        <v>48</v>
      </c>
      <c r="B10" s="1901"/>
      <c r="C10" s="1901"/>
      <c r="D10" s="1902"/>
      <c r="E10" s="1010">
        <f ca="1">HYPERLINK("#"&amp;CELL("address",'1) Data Entry'!PTR),'1) Data Entry'!PTR)</f>
        <v>0</v>
      </c>
      <c r="F10" s="320" t="s">
        <v>49</v>
      </c>
      <c r="H10" s="40"/>
      <c r="I10" s="1154">
        <f>'1) Data Entry'!E55/100</f>
        <v>0</v>
      </c>
      <c r="J10" s="1161" t="s">
        <v>461</v>
      </c>
      <c r="K10" s="1154">
        <f>'1) Data Entry'!E56/100</f>
        <v>0</v>
      </c>
      <c r="L10" s="1225" t="s">
        <v>716</v>
      </c>
      <c r="M10" s="432"/>
      <c r="N10" s="433"/>
      <c r="O10" s="432"/>
      <c r="Q10" s="419"/>
      <c r="R10" s="1226"/>
      <c r="S10" s="22"/>
      <c r="T10" s="22"/>
      <c r="U10" s="49" t="s">
        <v>719</v>
      </c>
    </row>
    <row r="11" spans="1:25" ht="12" customHeight="1" thickBot="1">
      <c r="A11" s="1901" t="s">
        <v>51</v>
      </c>
      <c r="B11" s="1901"/>
      <c r="C11" s="1901"/>
      <c r="D11" s="1902"/>
      <c r="E11" s="1011" t="e">
        <f ca="1">HYPERLINK("#"&amp;CELL("address",'1) Data Entry'!CTR_PTR),'1) Data Entry'!CTR_PTR)</f>
        <v>#DIV/0!</v>
      </c>
      <c r="H11" s="50"/>
      <c r="I11" s="423"/>
      <c r="J11" s="424"/>
      <c r="K11" s="425"/>
      <c r="L11" s="43"/>
      <c r="M11" s="1154" t="e">
        <f>VLOOKUP(S9,'1) Data Entry'!AA370:AE381,4,FALSE)</f>
        <v>#VALUE!</v>
      </c>
      <c r="N11" s="429" t="s">
        <v>461</v>
      </c>
      <c r="O11" s="1154" t="e">
        <f>VLOOKUP(S9,'1) Data Entry'!AA370:AE381,5,FALSE)</f>
        <v>#VALUE!</v>
      </c>
      <c r="P11" s="1123" t="s">
        <v>720</v>
      </c>
    </row>
    <row r="12" spans="1:25" ht="12" customHeight="1" thickTop="1">
      <c r="G12"/>
      <c r="H12" s="422"/>
      <c r="I12" s="426"/>
      <c r="J12" s="427"/>
      <c r="K12" s="48"/>
      <c r="L12" s="421"/>
      <c r="N12" s="434"/>
      <c r="P12" s="670"/>
    </row>
    <row r="13" spans="1:25" ht="12" customHeight="1">
      <c r="G13"/>
      <c r="I13" s="1154">
        <f>'1) Data Entry'!E57/100</f>
        <v>0</v>
      </c>
      <c r="J13" s="327" t="s">
        <v>461</v>
      </c>
      <c r="K13" s="1154">
        <f>'1) Data Entry'!E58/100</f>
        <v>0</v>
      </c>
      <c r="L13" s="1225" t="s">
        <v>720</v>
      </c>
      <c r="M13" s="1154">
        <f>VLOOKUP(Q14,'1) Data Entry'!AA369:AF381,2,FALSE)</f>
        <v>0</v>
      </c>
      <c r="N13" s="429" t="s">
        <v>461</v>
      </c>
      <c r="O13" s="1154">
        <f>VLOOKUP(Q14,'1) Data Entry'!AA369:AF381,3,FALSE)</f>
        <v>0</v>
      </c>
      <c r="P13" s="1123" t="s">
        <v>716</v>
      </c>
    </row>
    <row r="14" spans="1:25" ht="12" customHeight="1" thickBot="1">
      <c r="A14" s="1629" t="s">
        <v>721</v>
      </c>
      <c r="B14" s="1629"/>
      <c r="C14" s="1629"/>
      <c r="D14" s="1629"/>
      <c r="E14" s="1907" t="str">
        <f>VLOOKUP("Long",'5) Infeed'!O15:P22,2,FALSE)</f>
        <v/>
      </c>
      <c r="F14" s="1907"/>
      <c r="G14" s="54"/>
      <c r="I14" s="670"/>
      <c r="J14" s="428"/>
      <c r="K14"/>
      <c r="L14" s="42"/>
      <c r="M14" s="435" t="s">
        <v>722</v>
      </c>
      <c r="N14" s="436"/>
      <c r="O14" s="436"/>
      <c r="P14" s="45"/>
      <c r="Q14" s="1884" t="str">
        <f>IF(E17="",E16,E17)</f>
        <v/>
      </c>
      <c r="R14" s="1885"/>
      <c r="S14" s="1885"/>
      <c r="T14" s="22"/>
    </row>
    <row r="15" spans="1:25" ht="12" customHeight="1" thickTop="1">
      <c r="A15" s="1916" t="s">
        <v>723</v>
      </c>
      <c r="B15" s="1629"/>
      <c r="C15" s="1629"/>
      <c r="D15" s="1629"/>
      <c r="E15" s="1899"/>
      <c r="F15" s="1899"/>
      <c r="G15" s="54"/>
      <c r="H15" s="1123"/>
      <c r="J15" s="364"/>
      <c r="M15" s="437"/>
      <c r="N15" s="429"/>
      <c r="O15" s="438"/>
      <c r="P15" s="50"/>
      <c r="Q15" s="1227" t="s">
        <v>724</v>
      </c>
      <c r="R15" s="22"/>
      <c r="S15" s="49"/>
      <c r="T15" s="49"/>
    </row>
    <row r="16" spans="1:25" ht="12" customHeight="1">
      <c r="A16" s="1804" t="s">
        <v>725</v>
      </c>
      <c r="B16" s="1912"/>
      <c r="C16" s="1912"/>
      <c r="D16" s="1913"/>
      <c r="E16" s="1907" t="str">
        <f>VLOOKUP("Shortest",'1) Data Entry'!AG370:AH381,2,FALSE)</f>
        <v/>
      </c>
      <c r="F16" s="1907"/>
      <c r="G16" s="33"/>
      <c r="J16" s="364"/>
      <c r="M16" s="1224" t="e">
        <f>VLOOKUP(Q14,'1) Data Entry'!AA369:AF381,4,FALSE)</f>
        <v>#VALUE!</v>
      </c>
      <c r="N16" s="429" t="s">
        <v>461</v>
      </c>
      <c r="O16" s="1154" t="e">
        <f>VLOOKUP(Q14,'1) Data Entry'!AA369:AF381,5,FALSE)</f>
        <v>#VALUE!</v>
      </c>
      <c r="P16" s="1228" t="s">
        <v>720</v>
      </c>
      <c r="R16" s="22"/>
    </row>
    <row r="17" spans="1:54" ht="12" customHeight="1">
      <c r="A17" s="1804" t="s">
        <v>726</v>
      </c>
      <c r="B17" s="1912"/>
      <c r="C17" s="1912"/>
      <c r="D17" s="1913"/>
      <c r="E17" s="1919"/>
      <c r="F17" s="1920"/>
      <c r="G17" s="54"/>
      <c r="H17"/>
      <c r="J17" s="364"/>
      <c r="Q17" s="583" t="str">
        <f>IF(Q14='1) Data Entry'!E191,"Shortest Second Line is an Autotransformer",IF(Q14='1) Data Entry'!E196,"Shortest Second Line is an Autotransformer",IF(Q14='1) Data Entry'!E201,"Shortest Second Line is an Autotransformer",IF(Q14='1) Data Entry'!E206,"Shortest Second Line is an Autotransformer",""))))</f>
        <v>Shortest Second Line is an Autotransformer</v>
      </c>
    </row>
    <row r="18" spans="1:54" ht="12" customHeight="1">
      <c r="A18" s="583" t="s">
        <v>727</v>
      </c>
      <c r="H18"/>
      <c r="J18"/>
    </row>
    <row r="19" spans="1:54" s="64" customFormat="1" ht="12" customHeight="1">
      <c r="A19" s="56"/>
      <c r="B19" s="57"/>
      <c r="C19" s="57"/>
      <c r="D19" s="58"/>
      <c r="E19" s="59"/>
      <c r="F19" s="60"/>
      <c r="G19" s="61"/>
      <c r="H19" s="61"/>
      <c r="I19" s="1229"/>
      <c r="J19" s="62"/>
      <c r="K19" s="61"/>
      <c r="L19" s="61"/>
      <c r="M19" s="61"/>
      <c r="N19" s="61"/>
      <c r="O19" s="61"/>
      <c r="P19" s="61"/>
      <c r="Q19" s="1230"/>
      <c r="R19" s="63"/>
      <c r="S19" s="61"/>
      <c r="T19" s="61"/>
      <c r="U19" s="61"/>
      <c r="W19" s="601"/>
      <c r="X19" s="1918"/>
      <c r="Y19" s="1918"/>
      <c r="Z19" s="1918"/>
      <c r="AA19" s="1918"/>
      <c r="BB19"/>
    </row>
    <row r="20" spans="1:54" ht="12" customHeight="1">
      <c r="A20" s="934" t="s">
        <v>728</v>
      </c>
      <c r="B20" s="935"/>
      <c r="C20" s="935"/>
      <c r="E20" s="144" t="s">
        <v>729</v>
      </c>
      <c r="G20" t="s">
        <v>730</v>
      </c>
      <c r="H20"/>
      <c r="I20" s="364"/>
      <c r="J20" s="38"/>
      <c r="K20"/>
      <c r="Q20" s="1227"/>
      <c r="R20" s="22"/>
      <c r="X20" s="1602"/>
      <c r="Y20" s="1602"/>
      <c r="Z20" s="1602"/>
      <c r="AA20" s="1602"/>
    </row>
    <row r="21" spans="1:54" ht="12" customHeight="1">
      <c r="A21" s="65"/>
      <c r="B21" s="46"/>
      <c r="C21" s="46"/>
      <c r="E21" s="144" t="s">
        <v>731</v>
      </c>
      <c r="G21" t="s">
        <v>732</v>
      </c>
      <c r="H21"/>
      <c r="I21" s="364"/>
      <c r="J21" s="38"/>
      <c r="K21"/>
      <c r="Q21" s="1227"/>
      <c r="R21" s="22"/>
    </row>
    <row r="22" spans="1:54" ht="12" customHeight="1">
      <c r="A22" s="65"/>
      <c r="B22" s="46"/>
      <c r="C22" s="46"/>
      <c r="H22"/>
      <c r="I22" s="364"/>
      <c r="J22" s="38"/>
      <c r="K22"/>
      <c r="Q22" s="1227"/>
      <c r="R22" s="22"/>
    </row>
    <row r="23" spans="1:54" ht="12" customHeight="1">
      <c r="A23" s="65"/>
      <c r="B23" s="46"/>
      <c r="C23" s="46"/>
      <c r="E23" s="144"/>
      <c r="G23"/>
      <c r="H23"/>
      <c r="I23" s="364"/>
      <c r="J23" s="38"/>
      <c r="K23"/>
      <c r="Q23" s="1227"/>
      <c r="R23" s="22"/>
    </row>
    <row r="24" spans="1:54" ht="12" customHeight="1">
      <c r="A24" s="65"/>
      <c r="B24" s="46"/>
      <c r="C24" s="130" t="s">
        <v>733</v>
      </c>
      <c r="D24" s="47" t="s">
        <v>538</v>
      </c>
      <c r="E24" s="66">
        <f>I10</f>
        <v>0</v>
      </c>
      <c r="F24" s="52" t="s">
        <v>461</v>
      </c>
      <c r="G24" s="66">
        <f>K10</f>
        <v>0</v>
      </c>
      <c r="H24" s="52" t="s">
        <v>734</v>
      </c>
      <c r="I24" s="1393">
        <f ca="1">$E$6</f>
        <v>0</v>
      </c>
      <c r="J24" s="52" t="s">
        <v>734</v>
      </c>
      <c r="K24" s="69">
        <v>1</v>
      </c>
      <c r="L24" s="47" t="s">
        <v>539</v>
      </c>
      <c r="M24" s="318">
        <f ca="1">SQRT(E24^2+G24^2)*I24</f>
        <v>0</v>
      </c>
      <c r="N24" s="51" t="s">
        <v>536</v>
      </c>
      <c r="O24" s="69" t="e">
        <f ca="1">$E$11</f>
        <v>#DIV/0!</v>
      </c>
      <c r="P24" s="47" t="s">
        <v>365</v>
      </c>
      <c r="Q24" s="68" t="e">
        <f ca="1">O24*M24</f>
        <v>#DIV/0!</v>
      </c>
      <c r="R24" s="392" t="s">
        <v>452</v>
      </c>
      <c r="S24" s="69" t="e">
        <f>DEGREES(ATAN(G24/E24))</f>
        <v>#DIV/0!</v>
      </c>
      <c r="T24" t="s">
        <v>735</v>
      </c>
      <c r="W24" s="605" t="s">
        <v>736</v>
      </c>
    </row>
    <row r="25" spans="1:54" ht="12" customHeight="1">
      <c r="A25" s="65"/>
      <c r="B25" s="46"/>
      <c r="E25" s="71"/>
      <c r="F25" s="71" t="s">
        <v>737</v>
      </c>
      <c r="G25" s="72"/>
      <c r="I25" s="71" t="s">
        <v>471</v>
      </c>
      <c r="J25" s="364"/>
      <c r="K25" s="73" t="s">
        <v>738</v>
      </c>
      <c r="M25" s="71" t="s">
        <v>739</v>
      </c>
      <c r="O25" s="73" t="s">
        <v>370</v>
      </c>
      <c r="Q25" s="71" t="s">
        <v>740</v>
      </c>
      <c r="S25" s="71" t="s">
        <v>741</v>
      </c>
      <c r="T25" s="71"/>
    </row>
    <row r="26" spans="1:54" ht="12" customHeight="1">
      <c r="A26" s="65"/>
      <c r="B26" s="46"/>
      <c r="C26" s="46"/>
      <c r="G26"/>
      <c r="H26"/>
      <c r="I26" s="364"/>
      <c r="J26" s="38"/>
      <c r="K26"/>
      <c r="Q26" s="1227"/>
      <c r="R26" s="22"/>
    </row>
    <row r="27" spans="1:54" ht="12" customHeight="1">
      <c r="C27" s="130" t="s">
        <v>742</v>
      </c>
      <c r="D27" s="47" t="s">
        <v>538</v>
      </c>
      <c r="E27" s="67">
        <f>I13</f>
        <v>0</v>
      </c>
      <c r="F27" s="52" t="s">
        <v>461</v>
      </c>
      <c r="G27" s="67">
        <f>K13</f>
        <v>0</v>
      </c>
      <c r="H27" s="52" t="s">
        <v>734</v>
      </c>
      <c r="I27" s="1393">
        <f ca="1">$E$6</f>
        <v>0</v>
      </c>
      <c r="J27" s="52" t="s">
        <v>734</v>
      </c>
      <c r="K27" s="69">
        <v>1</v>
      </c>
      <c r="L27" s="47" t="s">
        <v>539</v>
      </c>
      <c r="M27" s="68">
        <f ca="1">SQRT(E27^2+G27^2)*I27</f>
        <v>0</v>
      </c>
      <c r="N27" s="51" t="s">
        <v>536</v>
      </c>
      <c r="O27" s="69" t="e">
        <f ca="1">$E$11</f>
        <v>#DIV/0!</v>
      </c>
      <c r="P27" s="47" t="s">
        <v>365</v>
      </c>
      <c r="Q27" s="68" t="e">
        <f ca="1">O27*M27</f>
        <v>#DIV/0!</v>
      </c>
      <c r="R27" s="392" t="s">
        <v>452</v>
      </c>
      <c r="S27" s="69" t="e">
        <f>DEGREES(ATAN(G27/E27))</f>
        <v>#DIV/0!</v>
      </c>
      <c r="T27" t="s">
        <v>735</v>
      </c>
      <c r="W27" s="605" t="s">
        <v>743</v>
      </c>
    </row>
    <row r="28" spans="1:54" ht="12" customHeight="1">
      <c r="E28" s="71"/>
      <c r="F28" s="71" t="s">
        <v>744</v>
      </c>
      <c r="G28" s="72"/>
      <c r="I28" s="71" t="s">
        <v>471</v>
      </c>
      <c r="J28" s="364"/>
      <c r="K28" s="73" t="s">
        <v>738</v>
      </c>
      <c r="M28" s="71" t="s">
        <v>745</v>
      </c>
      <c r="O28" s="73" t="s">
        <v>370</v>
      </c>
      <c r="Q28" s="71" t="s">
        <v>746</v>
      </c>
      <c r="S28" s="71" t="s">
        <v>747</v>
      </c>
      <c r="T28" s="71"/>
    </row>
    <row r="29" spans="1:54" ht="12" customHeight="1">
      <c r="J29" s="364"/>
    </row>
    <row r="30" spans="1:54" ht="12" customHeight="1">
      <c r="J30" s="364"/>
      <c r="K30" s="76" t="s">
        <v>748</v>
      </c>
      <c r="L30" s="52" t="s">
        <v>365</v>
      </c>
      <c r="M30" s="582">
        <v>0.8</v>
      </c>
      <c r="N30" s="51" t="s">
        <v>536</v>
      </c>
      <c r="O30" s="67" t="e">
        <f ca="1">Q24</f>
        <v>#DIV/0!</v>
      </c>
      <c r="P30" s="52" t="s">
        <v>365</v>
      </c>
      <c r="Q30" s="1231" t="e">
        <f ca="1">M30*O30</f>
        <v>#DIV/0!</v>
      </c>
      <c r="R30" s="392" t="s">
        <v>452</v>
      </c>
      <c r="S30" s="69" t="e">
        <f>S24</f>
        <v>#DIV/0!</v>
      </c>
      <c r="T30" t="s">
        <v>735</v>
      </c>
      <c r="W30" s="605" t="s">
        <v>749</v>
      </c>
      <c r="Y30" s="613" t="s">
        <v>750</v>
      </c>
    </row>
    <row r="31" spans="1:54" ht="12" customHeight="1">
      <c r="J31" s="364"/>
      <c r="K31" s="75"/>
      <c r="L31" s="37"/>
      <c r="M31" s="71" t="s">
        <v>544</v>
      </c>
      <c r="N31" s="51"/>
      <c r="O31" s="71" t="s">
        <v>751</v>
      </c>
      <c r="P31" s="37"/>
      <c r="Q31" s="71" t="s">
        <v>752</v>
      </c>
      <c r="S31" s="71" t="s">
        <v>753</v>
      </c>
      <c r="Y31" s="613"/>
    </row>
    <row r="32" spans="1:54" ht="12" customHeight="1" thickBot="1">
      <c r="C32" s="75"/>
      <c r="E32" s="71"/>
      <c r="G32" s="71"/>
      <c r="I32" s="71"/>
      <c r="J32"/>
      <c r="K32" s="71"/>
      <c r="P32" s="1073"/>
      <c r="Q32" s="1073"/>
      <c r="R32" s="1073"/>
      <c r="S32" s="1073"/>
      <c r="Y32" s="613"/>
    </row>
    <row r="33" spans="1:55" ht="12" customHeight="1">
      <c r="C33" s="1868" t="s">
        <v>754</v>
      </c>
      <c r="D33" s="1869"/>
      <c r="E33" s="1869"/>
      <c r="F33" s="1869"/>
      <c r="G33" s="1869"/>
      <c r="H33" s="1869"/>
      <c r="I33" s="1869"/>
      <c r="J33" s="1869"/>
      <c r="K33" s="1869"/>
      <c r="L33" s="1870"/>
      <c r="M33" s="1068">
        <f>IFERROR(VLOOKUP("IMPEDANCE ANALYSIS INFORMATION ; 80% min apparent impedance value for Test 3 (Magnitude):",SDA_TABLE[#All],7,FALSE),"")</f>
        <v>0</v>
      </c>
      <c r="N33" s="778" t="s">
        <v>536</v>
      </c>
      <c r="O33" s="1069" t="e">
        <f ca="1">$E$11</f>
        <v>#DIV/0!</v>
      </c>
      <c r="P33" s="1070" t="s">
        <v>365</v>
      </c>
      <c r="Q33" s="1071" t="e">
        <f ca="1">O33*M33</f>
        <v>#DIV/0!</v>
      </c>
      <c r="R33" s="1072"/>
      <c r="S33" s="1073"/>
      <c r="Y33" s="613"/>
    </row>
    <row r="34" spans="1:55" ht="12" customHeight="1">
      <c r="C34" s="1871"/>
      <c r="D34" s="1872"/>
      <c r="E34" s="1872"/>
      <c r="F34" s="1872"/>
      <c r="G34" s="1872"/>
      <c r="H34" s="1872"/>
      <c r="I34" s="1872"/>
      <c r="J34" s="1872"/>
      <c r="K34" s="1872"/>
      <c r="L34" s="1873"/>
      <c r="M34" s="108" t="s">
        <v>755</v>
      </c>
      <c r="O34" s="73" t="s">
        <v>370</v>
      </c>
      <c r="P34" s="1073"/>
      <c r="Q34" s="71" t="s">
        <v>756</v>
      </c>
      <c r="R34" s="1074"/>
      <c r="S34" s="1073"/>
      <c r="Y34" s="613"/>
    </row>
    <row r="35" spans="1:55" ht="12" customHeight="1">
      <c r="C35" s="1871"/>
      <c r="D35" s="1872"/>
      <c r="E35" s="1872"/>
      <c r="F35" s="1872"/>
      <c r="G35" s="1872"/>
      <c r="H35" s="1872"/>
      <c r="I35" s="1872"/>
      <c r="J35" s="1872"/>
      <c r="K35" s="1872"/>
      <c r="L35" s="1873"/>
      <c r="M35" s="1061">
        <f>IFERROR(VLOOKUP("IMPEDANCE ANALYSIS INFORMATION ; 80% max apparent impedance value for Test 3 (Magnitude):",SDA_TABLE[#All],7,FALSE),"")</f>
        <v>0</v>
      </c>
      <c r="N35" s="51" t="s">
        <v>536</v>
      </c>
      <c r="O35" s="69" t="e">
        <f ca="1">$E$11</f>
        <v>#DIV/0!</v>
      </c>
      <c r="P35" s="47" t="s">
        <v>365</v>
      </c>
      <c r="Q35" s="68" t="e">
        <f ca="1">O35*M35</f>
        <v>#DIV/0!</v>
      </c>
      <c r="R35" s="1074"/>
      <c r="S35" s="1073"/>
      <c r="Y35" s="613"/>
    </row>
    <row r="36" spans="1:55" ht="12" customHeight="1" thickBot="1">
      <c r="C36" s="1874"/>
      <c r="D36" s="1875"/>
      <c r="E36" s="1875"/>
      <c r="F36" s="1875"/>
      <c r="G36" s="1875"/>
      <c r="H36" s="1875"/>
      <c r="I36" s="1875"/>
      <c r="J36" s="1875"/>
      <c r="K36" s="1875"/>
      <c r="L36" s="1876"/>
      <c r="M36" s="1076" t="s">
        <v>757</v>
      </c>
      <c r="N36" s="346"/>
      <c r="O36" s="1077" t="s">
        <v>370</v>
      </c>
      <c r="P36" s="1078"/>
      <c r="Q36" s="1075" t="s">
        <v>756</v>
      </c>
      <c r="R36" s="1079"/>
      <c r="S36" s="1073"/>
      <c r="Y36" s="613"/>
    </row>
    <row r="37" spans="1:55" ht="12" customHeight="1">
      <c r="E37" s="71"/>
      <c r="G37" s="71"/>
      <c r="I37" s="71"/>
      <c r="J37"/>
      <c r="K37" s="71"/>
      <c r="O37" s="1519" t="s">
        <v>758</v>
      </c>
      <c r="P37" s="1519"/>
      <c r="Q37" s="1519"/>
      <c r="R37" s="1519"/>
      <c r="S37" s="1519"/>
      <c r="T37" s="1519"/>
      <c r="U37" s="1519"/>
      <c r="Y37" s="613"/>
    </row>
    <row r="38" spans="1:55" ht="12" customHeight="1">
      <c r="A38" s="1886" t="s">
        <v>759</v>
      </c>
      <c r="B38" s="1887"/>
      <c r="C38" s="1887"/>
      <c r="D38" s="1887"/>
      <c r="E38" s="1887"/>
      <c r="F38" s="1887"/>
      <c r="G38" s="1887"/>
      <c r="H38" s="1887"/>
      <c r="I38" s="1887"/>
      <c r="J38" s="1904"/>
      <c r="K38" s="1515" t="str">
        <f>IF(AND($K$8&lt;1,$K$8&gt;0),"Z1 NOT USED BECAUSE THE LINE IS LESS THAN 1 MILE LONG","")</f>
        <v/>
      </c>
      <c r="L38" s="1515"/>
      <c r="M38" s="1515"/>
      <c r="N38" s="1515"/>
      <c r="O38" s="1515"/>
      <c r="P38" s="1515"/>
      <c r="Q38" s="1515"/>
      <c r="S38" s="116" t="s">
        <v>26</v>
      </c>
      <c r="T38" s="77"/>
      <c r="U38" s="1129"/>
      <c r="Y38" s="613"/>
    </row>
    <row r="39" spans="1:55" ht="12" customHeight="1">
      <c r="A39" s="1890"/>
      <c r="B39" s="1891"/>
      <c r="C39" s="1891"/>
      <c r="D39" s="1891"/>
      <c r="E39" s="1891"/>
      <c r="F39" s="1891"/>
      <c r="G39" s="1891"/>
      <c r="H39" s="1891"/>
      <c r="I39" s="1891"/>
      <c r="J39" s="1905"/>
      <c r="K39" s="71"/>
      <c r="M39" s="323" t="s">
        <v>760</v>
      </c>
      <c r="N39" s="47" t="s">
        <v>365</v>
      </c>
      <c r="O39" s="105" t="e">
        <f ca="1">IF(AND($K$8&lt;1,$K$8&gt;0),"NA",Q30)</f>
        <v>#DIV/0!</v>
      </c>
      <c r="P39" s="392" t="s">
        <v>452</v>
      </c>
      <c r="Q39" s="106" t="e">
        <f>IF(AND($K$8&lt;1,$K$8&gt;0),"NA",S30)</f>
        <v>#DIV/0!</v>
      </c>
      <c r="R39" s="47" t="s">
        <v>378</v>
      </c>
      <c r="S39" s="78" t="e">
        <f ca="1">IF(O39="NA","NA",ROUNDDOWN(IF(O40="",O39,O40),2))</f>
        <v>#DIV/0!</v>
      </c>
      <c r="T39" s="392" t="s">
        <v>452</v>
      </c>
      <c r="U39" s="106" t="e">
        <f>IF(Q40="",Q39,Q40)</f>
        <v>#DIV/0!</v>
      </c>
      <c r="W39" s="605" t="s">
        <v>761</v>
      </c>
      <c r="Y39" s="613" t="s">
        <v>762</v>
      </c>
    </row>
    <row r="40" spans="1:55" ht="12" customHeight="1">
      <c r="A40" s="1894"/>
      <c r="B40" s="1895"/>
      <c r="C40" s="1895"/>
      <c r="D40" s="1895"/>
      <c r="E40" s="1895"/>
      <c r="F40" s="1895"/>
      <c r="G40" s="1895"/>
      <c r="H40" s="1895"/>
      <c r="I40" s="1895"/>
      <c r="J40" s="1906"/>
      <c r="K40" s="71"/>
      <c r="M40" s="103" t="s">
        <v>573</v>
      </c>
      <c r="N40" s="47" t="s">
        <v>378</v>
      </c>
      <c r="O40" s="146"/>
      <c r="P40" s="392"/>
      <c r="Q40" s="850"/>
      <c r="R40" s="47"/>
      <c r="S40" s="103"/>
      <c r="T40" s="103"/>
      <c r="U40" s="103"/>
      <c r="Y40" s="613"/>
    </row>
    <row r="41" spans="1:55" ht="12" customHeight="1">
      <c r="A41" s="61"/>
      <c r="B41" s="79"/>
      <c r="C41" s="79"/>
      <c r="D41" s="58"/>
      <c r="E41" s="80"/>
      <c r="F41" s="60"/>
      <c r="G41" s="81"/>
      <c r="H41" s="58"/>
      <c r="I41" s="82"/>
      <c r="J41" s="1229"/>
      <c r="K41" s="83"/>
      <c r="L41" s="61"/>
      <c r="M41" s="82"/>
      <c r="N41" s="61"/>
      <c r="O41" s="61"/>
      <c r="P41" s="61"/>
      <c r="Q41" s="61"/>
      <c r="R41" s="61"/>
      <c r="S41" s="61"/>
      <c r="T41" s="61"/>
      <c r="U41" s="62"/>
    </row>
    <row r="42" spans="1:55" s="64" customFormat="1" ht="12" customHeight="1">
      <c r="A42" s="934" t="s">
        <v>763</v>
      </c>
      <c r="B42" s="936"/>
      <c r="C42" s="936"/>
      <c r="D42" s="85"/>
      <c r="E42" s="54" t="s">
        <v>729</v>
      </c>
      <c r="F42" s="86"/>
      <c r="G42" s="64" t="s">
        <v>764</v>
      </c>
      <c r="H42" s="85"/>
      <c r="I42" s="87"/>
      <c r="J42" s="1232"/>
      <c r="K42" s="88"/>
      <c r="M42" s="87"/>
      <c r="U42" s="89"/>
      <c r="W42" s="601"/>
      <c r="Y42" s="614"/>
      <c r="AZ42"/>
      <c r="BA42"/>
      <c r="BB42"/>
      <c r="BC42"/>
    </row>
    <row r="43" spans="1:55" s="64" customFormat="1" ht="12" customHeight="1">
      <c r="B43" s="84"/>
      <c r="C43" s="84"/>
      <c r="D43" s="85"/>
      <c r="E43" s="54" t="s">
        <v>731</v>
      </c>
      <c r="F43" s="86"/>
      <c r="G43" s="767" t="s">
        <v>765</v>
      </c>
      <c r="J43" s="1232"/>
      <c r="K43" s="88"/>
      <c r="M43" s="87"/>
      <c r="U43" s="89"/>
      <c r="W43" s="601"/>
      <c r="Y43" s="614"/>
    </row>
    <row r="44" spans="1:55" s="64" customFormat="1" ht="12" customHeight="1">
      <c r="B44" s="84"/>
      <c r="C44" s="84"/>
      <c r="D44" s="85"/>
      <c r="F44" s="86"/>
      <c r="G44" s="767"/>
      <c r="J44" s="1232"/>
      <c r="K44" s="88"/>
      <c r="M44" s="87"/>
      <c r="U44" s="89"/>
      <c r="W44" s="601"/>
      <c r="Y44" s="614"/>
    </row>
    <row r="45" spans="1:55" ht="12" customHeight="1">
      <c r="A45" s="55"/>
      <c r="B45" s="90"/>
      <c r="C45" s="90"/>
      <c r="D45" s="91"/>
      <c r="E45" s="92"/>
      <c r="F45" s="93"/>
      <c r="G45" s="94"/>
      <c r="H45" s="91"/>
      <c r="J45" s="1233"/>
      <c r="K45" s="96"/>
      <c r="L45" s="97"/>
      <c r="M45" s="95"/>
      <c r="N45" s="97"/>
      <c r="O45" s="97"/>
      <c r="P45" s="97"/>
      <c r="Q45" s="97"/>
      <c r="R45" s="97"/>
      <c r="S45" s="97"/>
      <c r="T45" s="97"/>
      <c r="U45" s="1158"/>
    </row>
    <row r="46" spans="1:55" ht="12" customHeight="1">
      <c r="A46" s="98" t="s">
        <v>766</v>
      </c>
      <c r="B46" s="1234" t="s">
        <v>365</v>
      </c>
      <c r="C46" s="76"/>
      <c r="D46" s="37" t="s">
        <v>767</v>
      </c>
      <c r="E46" s="66">
        <f>I10</f>
        <v>0</v>
      </c>
      <c r="F46" s="52" t="s">
        <v>461</v>
      </c>
      <c r="G46" s="66">
        <f>K10</f>
        <v>0</v>
      </c>
      <c r="H46" s="52" t="s">
        <v>768</v>
      </c>
      <c r="I46" s="74">
        <v>0.5</v>
      </c>
      <c r="J46" s="52" t="s">
        <v>769</v>
      </c>
      <c r="K46" s="99">
        <f>M13</f>
        <v>0</v>
      </c>
      <c r="L46" s="52" t="s">
        <v>461</v>
      </c>
      <c r="M46" s="67">
        <f>O13</f>
        <v>0</v>
      </c>
      <c r="N46" s="52" t="s">
        <v>770</v>
      </c>
      <c r="O46" s="1393">
        <f ca="1">$E$6</f>
        <v>0</v>
      </c>
      <c r="P46" s="47" t="s">
        <v>473</v>
      </c>
      <c r="Q46" s="68">
        <f ca="1">O46*(SQRT((E46+I46*K46)^2+(G46+I46*M46)^2))</f>
        <v>0</v>
      </c>
      <c r="R46" s="51" t="s">
        <v>452</v>
      </c>
      <c r="S46" s="69" t="e">
        <f>DEGREES(ATAN2((E46+I46*K46),(G46+I46*M46)))</f>
        <v>#DIV/0!</v>
      </c>
      <c r="T46" s="70"/>
      <c r="U46" s="1129"/>
      <c r="W46" s="605" t="s">
        <v>771</v>
      </c>
      <c r="Y46" s="611" t="s">
        <v>772</v>
      </c>
    </row>
    <row r="47" spans="1:55" ht="12" customHeight="1">
      <c r="A47" s="100"/>
      <c r="E47" s="101"/>
      <c r="F47" s="71" t="s">
        <v>773</v>
      </c>
      <c r="G47" s="72"/>
      <c r="H47" s="144"/>
      <c r="I47" s="71" t="s">
        <v>544</v>
      </c>
      <c r="J47" s="364"/>
      <c r="K47" s="71"/>
      <c r="L47" s="71" t="s">
        <v>774</v>
      </c>
      <c r="M47" s="71"/>
      <c r="O47" s="71" t="s">
        <v>471</v>
      </c>
      <c r="Q47" s="71" t="s">
        <v>775</v>
      </c>
      <c r="S47" s="71" t="s">
        <v>776</v>
      </c>
      <c r="T47" s="71"/>
      <c r="U47" s="71" t="s">
        <v>777</v>
      </c>
    </row>
    <row r="48" spans="1:55" ht="13.5" customHeight="1">
      <c r="A48" s="100"/>
      <c r="E48" s="101"/>
      <c r="F48" s="71"/>
      <c r="G48" s="72"/>
      <c r="H48" s="144"/>
      <c r="I48" s="71"/>
      <c r="J48" s="364"/>
      <c r="K48" s="71"/>
      <c r="L48" s="71"/>
      <c r="M48" s="71"/>
      <c r="O48" s="71"/>
      <c r="Q48" s="71"/>
      <c r="S48" s="71"/>
      <c r="T48" s="71"/>
      <c r="U48" s="71"/>
    </row>
    <row r="49" spans="1:25" ht="12" customHeight="1">
      <c r="A49" s="155"/>
      <c r="D49" s="52" t="s">
        <v>365</v>
      </c>
      <c r="E49" s="68">
        <f ca="1">Q46</f>
        <v>0</v>
      </c>
      <c r="F49" s="37" t="s">
        <v>536</v>
      </c>
      <c r="G49" s="69" t="e">
        <f ca="1">E11</f>
        <v>#DIV/0!</v>
      </c>
      <c r="H49" s="392" t="s">
        <v>365</v>
      </c>
      <c r="I49" s="68" t="e">
        <f ca="1">E49*G49</f>
        <v>#DIV/0!</v>
      </c>
      <c r="J49" s="37" t="s">
        <v>452</v>
      </c>
      <c r="K49" s="69" t="e">
        <f>S46</f>
        <v>#DIV/0!</v>
      </c>
      <c r="L49" s="759" t="s">
        <v>778</v>
      </c>
      <c r="M49" t="s">
        <v>779</v>
      </c>
      <c r="N49" s="52"/>
      <c r="O49" s="1235"/>
      <c r="P49" s="1236"/>
      <c r="Q49" s="70"/>
      <c r="S49" s="103" t="s">
        <v>780</v>
      </c>
      <c r="T49" s="47" t="s">
        <v>365</v>
      </c>
      <c r="U49" s="105" t="e">
        <f ca="1">ROUNDUP(I49,2)</f>
        <v>#DIV/0!</v>
      </c>
      <c r="W49" s="605" t="s">
        <v>781</v>
      </c>
      <c r="Y49" s="611" t="s">
        <v>782</v>
      </c>
    </row>
    <row r="50" spans="1:25" ht="12" customHeight="1">
      <c r="E50" s="71" t="s">
        <v>775</v>
      </c>
      <c r="G50" s="73" t="s">
        <v>370</v>
      </c>
      <c r="H50" s="144"/>
      <c r="I50" s="364" t="s">
        <v>783</v>
      </c>
      <c r="J50" s="364"/>
      <c r="K50" s="71" t="s">
        <v>776</v>
      </c>
      <c r="L50" s="364"/>
      <c r="M50" s="73"/>
      <c r="O50" s="71"/>
      <c r="Q50" s="71"/>
      <c r="S50" s="103" t="s">
        <v>784</v>
      </c>
      <c r="T50" s="47" t="s">
        <v>365</v>
      </c>
      <c r="U50" s="106" t="e">
        <f>S46</f>
        <v>#DIV/0!</v>
      </c>
      <c r="W50" s="605" t="s">
        <v>785</v>
      </c>
    </row>
    <row r="51" spans="1:25" ht="8.25" customHeight="1" thickBot="1">
      <c r="E51" s="71"/>
      <c r="G51" s="73"/>
      <c r="H51" s="144"/>
      <c r="I51" s="364"/>
      <c r="J51" s="364"/>
      <c r="K51" s="71"/>
      <c r="L51" s="364"/>
      <c r="M51" s="73"/>
      <c r="O51" s="71"/>
      <c r="Q51" s="71"/>
      <c r="S51" s="103"/>
      <c r="T51" s="47"/>
      <c r="U51" s="107"/>
    </row>
    <row r="52" spans="1:25" ht="21.75" customHeight="1">
      <c r="A52" s="1868" t="s">
        <v>786</v>
      </c>
      <c r="B52" s="1869"/>
      <c r="C52" s="1869"/>
      <c r="D52" s="1869"/>
      <c r="E52" s="1085"/>
      <c r="F52" s="1067"/>
      <c r="G52" s="1083"/>
      <c r="H52" s="1084"/>
      <c r="I52" s="1067"/>
      <c r="J52" s="1237"/>
      <c r="K52" s="101"/>
      <c r="L52" s="364"/>
      <c r="M52" s="101"/>
      <c r="O52" s="71"/>
      <c r="Q52" s="71"/>
    </row>
    <row r="53" spans="1:25" ht="12" customHeight="1">
      <c r="A53" s="1871"/>
      <c r="B53" s="1872"/>
      <c r="C53" s="1872"/>
      <c r="D53" s="1872"/>
      <c r="E53" s="1086">
        <f>IFERROR(VLOOKUP("IMPEDANCE ANALYSIS INFORMATION ; min apparent impedance value for Test 5 (Magnitude):",SDA_TABLE[#All],7,FALSE),"")</f>
        <v>0</v>
      </c>
      <c r="F53" s="51" t="s">
        <v>536</v>
      </c>
      <c r="G53" s="69" t="e">
        <f ca="1">$E$11</f>
        <v>#DIV/0!</v>
      </c>
      <c r="H53" s="47" t="s">
        <v>365</v>
      </c>
      <c r="I53" s="68" t="e">
        <f ca="1">G53*E53</f>
        <v>#DIV/0!</v>
      </c>
      <c r="J53" s="1074"/>
      <c r="K53" s="101"/>
      <c r="L53" s="364"/>
      <c r="M53" s="101"/>
      <c r="O53" s="71"/>
      <c r="Q53" s="71"/>
    </row>
    <row r="54" spans="1:25" ht="12" customHeight="1">
      <c r="A54" s="1871"/>
      <c r="B54" s="1872"/>
      <c r="C54" s="1872"/>
      <c r="D54" s="1872"/>
      <c r="E54" s="1087" t="s">
        <v>787</v>
      </c>
      <c r="F54"/>
      <c r="G54" s="73" t="s">
        <v>370</v>
      </c>
      <c r="H54" s="1073"/>
      <c r="I54" s="71" t="s">
        <v>788</v>
      </c>
      <c r="J54" s="1074"/>
      <c r="K54" s="101"/>
      <c r="L54" s="364"/>
      <c r="M54" s="101"/>
      <c r="O54" s="71"/>
      <c r="Q54" s="71"/>
    </row>
    <row r="55" spans="1:25" ht="12" customHeight="1">
      <c r="A55" s="1871"/>
      <c r="B55" s="1872"/>
      <c r="C55" s="1872"/>
      <c r="D55" s="1872"/>
      <c r="E55" s="1086">
        <f>IFERROR(VLOOKUP("IMPEDANCE ANALYSIS INFORMATION ; max apparent impedance value for Test 5 (Magnitude):",SDA_TABLE[#All],7,FALSE),"")</f>
        <v>0</v>
      </c>
      <c r="F55" s="51" t="s">
        <v>536</v>
      </c>
      <c r="G55" s="69" t="e">
        <f ca="1">$E$11</f>
        <v>#DIV/0!</v>
      </c>
      <c r="H55" s="47" t="s">
        <v>365</v>
      </c>
      <c r="I55" s="68" t="e">
        <f ca="1">G55*E55</f>
        <v>#DIV/0!</v>
      </c>
      <c r="J55" s="1074"/>
      <c r="K55" s="101"/>
      <c r="L55" s="364"/>
      <c r="M55" s="101"/>
      <c r="O55" s="71"/>
      <c r="Q55" s="71"/>
    </row>
    <row r="56" spans="1:25" ht="15.6">
      <c r="A56" s="1871"/>
      <c r="B56" s="1872"/>
      <c r="C56" s="1872"/>
      <c r="D56" s="1872"/>
      <c r="E56" s="1087" t="s">
        <v>789</v>
      </c>
      <c r="F56"/>
      <c r="G56" s="73" t="s">
        <v>370</v>
      </c>
      <c r="H56" s="1073"/>
      <c r="I56" s="71" t="s">
        <v>788</v>
      </c>
      <c r="J56" s="1074"/>
      <c r="K56" s="101"/>
      <c r="L56" s="364"/>
      <c r="M56" s="101"/>
      <c r="O56" s="71"/>
      <c r="Q56" s="71"/>
    </row>
    <row r="57" spans="1:25" ht="30.75" customHeight="1" thickBot="1">
      <c r="A57" s="1874"/>
      <c r="B57" s="1875"/>
      <c r="C57" s="1875"/>
      <c r="D57" s="1875"/>
      <c r="E57" s="1088"/>
      <c r="F57" s="346"/>
      <c r="G57" s="1077"/>
      <c r="H57" s="1078"/>
      <c r="I57" s="1075"/>
      <c r="J57" s="1079"/>
      <c r="K57" s="101"/>
      <c r="L57" s="364"/>
      <c r="M57" s="101"/>
      <c r="O57" s="71"/>
      <c r="Q57" s="71"/>
    </row>
    <row r="58" spans="1:25" ht="12" customHeight="1">
      <c r="A58" s="98"/>
      <c r="E58" s="101"/>
      <c r="G58" s="101"/>
      <c r="H58" s="144"/>
      <c r="I58" s="71"/>
      <c r="J58" s="364"/>
      <c r="K58" s="101"/>
      <c r="L58" s="364"/>
      <c r="M58" s="101"/>
      <c r="O58" s="71"/>
      <c r="Q58" s="71"/>
    </row>
    <row r="59" spans="1:25" ht="12" customHeight="1">
      <c r="E59" s="71"/>
      <c r="G59" s="73"/>
      <c r="H59" s="144"/>
      <c r="I59" s="364"/>
      <c r="J59" s="364"/>
      <c r="K59" s="71"/>
      <c r="L59" s="364"/>
      <c r="M59" s="73"/>
      <c r="O59" s="71"/>
      <c r="Q59" s="71"/>
      <c r="S59" s="103"/>
      <c r="T59" s="104"/>
      <c r="U59" s="107"/>
    </row>
    <row r="60" spans="1:25" ht="12" customHeight="1">
      <c r="A60" t="s">
        <v>790</v>
      </c>
      <c r="E60" s="101"/>
      <c r="G60" s="101"/>
      <c r="H60" s="144"/>
      <c r="I60" s="71"/>
      <c r="J60" s="364"/>
      <c r="K60" s="108"/>
      <c r="L60" s="364"/>
      <c r="M60" s="101"/>
      <c r="O60" s="71"/>
      <c r="Q60" s="71"/>
    </row>
    <row r="61" spans="1:25" ht="12" customHeight="1" thickBot="1">
      <c r="A61" s="98" t="s">
        <v>791</v>
      </c>
      <c r="B61"/>
      <c r="D61" s="52" t="s">
        <v>365</v>
      </c>
      <c r="E61" s="74">
        <v>1.2</v>
      </c>
      <c r="F61" s="51" t="s">
        <v>536</v>
      </c>
      <c r="G61" s="68">
        <f ca="1">M24</f>
        <v>0</v>
      </c>
      <c r="H61" s="37" t="s">
        <v>536</v>
      </c>
      <c r="I61" s="69">
        <v>1</v>
      </c>
      <c r="J61" s="37" t="s">
        <v>365</v>
      </c>
      <c r="K61" s="68">
        <f ca="1">E61*G61</f>
        <v>0</v>
      </c>
      <c r="L61" s="51" t="s">
        <v>536</v>
      </c>
      <c r="M61" s="67" t="e">
        <f ca="1">$E$11</f>
        <v>#DIV/0!</v>
      </c>
      <c r="N61" s="47" t="s">
        <v>365</v>
      </c>
      <c r="O61" s="68" t="e">
        <f ca="1">K61*M61</f>
        <v>#DIV/0!</v>
      </c>
      <c r="P61" s="392" t="s">
        <v>452</v>
      </c>
      <c r="Q61" s="69" t="e">
        <f>S24</f>
        <v>#DIV/0!</v>
      </c>
      <c r="S61" s="346"/>
      <c r="U61" s="71" t="s">
        <v>792</v>
      </c>
      <c r="W61" s="605" t="s">
        <v>793</v>
      </c>
      <c r="Y61" s="611" t="s">
        <v>782</v>
      </c>
    </row>
    <row r="62" spans="1:25" ht="12" customHeight="1" thickBot="1">
      <c r="A62" s="100"/>
      <c r="B62"/>
      <c r="C62"/>
      <c r="D62"/>
      <c r="E62" s="71" t="s">
        <v>544</v>
      </c>
      <c r="G62" s="101" t="s">
        <v>794</v>
      </c>
      <c r="I62" s="73" t="s">
        <v>738</v>
      </c>
      <c r="J62" s="364"/>
      <c r="K62" s="101" t="s">
        <v>775</v>
      </c>
      <c r="M62" s="101" t="s">
        <v>795</v>
      </c>
      <c r="O62" s="101" t="s">
        <v>783</v>
      </c>
      <c r="P62" s="364"/>
      <c r="Q62" s="101" t="s">
        <v>796</v>
      </c>
      <c r="S62" s="109"/>
      <c r="T62" s="110"/>
      <c r="U62" s="111" t="e">
        <f ca="1">MAX(O61,O69)</f>
        <v>#DIV/0!</v>
      </c>
      <c r="W62" s="605" t="s">
        <v>797</v>
      </c>
    </row>
    <row r="63" spans="1:25" ht="12" customHeight="1" thickBot="1">
      <c r="A63" s="100"/>
      <c r="B63"/>
      <c r="C63"/>
      <c r="D63"/>
      <c r="E63" s="71"/>
      <c r="G63" s="101"/>
      <c r="I63" s="101"/>
      <c r="J63" s="364"/>
      <c r="K63" s="101"/>
      <c r="M63" s="101"/>
      <c r="O63" s="101"/>
      <c r="P63" s="364"/>
      <c r="Q63" s="101"/>
      <c r="S63" s="109"/>
      <c r="T63" s="830"/>
      <c r="U63" s="112" t="e">
        <f>Q61</f>
        <v>#DIV/0!</v>
      </c>
    </row>
    <row r="64" spans="1:25" ht="12" customHeight="1">
      <c r="B64"/>
      <c r="C64"/>
      <c r="D64"/>
      <c r="E64" s="1868" t="s">
        <v>798</v>
      </c>
      <c r="F64" s="1869"/>
      <c r="G64" s="1869"/>
      <c r="H64" s="1869"/>
      <c r="I64" s="1869"/>
      <c r="J64" s="1870"/>
      <c r="K64" s="1068">
        <f>IFERROR(VLOOKUP("IMPEDANCE ANALYSIS INFORMATION ; 120% min apparent impedance value for Test 4 (Magnitude):",SDA_TABLE[#All],7,FALSE),"")</f>
        <v>0</v>
      </c>
      <c r="L64" s="778" t="s">
        <v>536</v>
      </c>
      <c r="M64" s="1089" t="e">
        <f ca="1">$E$11</f>
        <v>#DIV/0!</v>
      </c>
      <c r="N64" s="1070" t="s">
        <v>365</v>
      </c>
      <c r="O64" s="1071" t="e">
        <f ca="1">K64*M64</f>
        <v>#DIV/0!</v>
      </c>
      <c r="P64" s="1237"/>
      <c r="Q64" s="101"/>
      <c r="T64" s="830"/>
    </row>
    <row r="65" spans="1:38" ht="12" customHeight="1">
      <c r="B65" s="1060"/>
      <c r="C65" s="1060"/>
      <c r="D65" s="1060"/>
      <c r="E65" s="1871"/>
      <c r="F65" s="1872"/>
      <c r="G65" s="1872"/>
      <c r="H65" s="1872"/>
      <c r="I65" s="1872"/>
      <c r="J65" s="1873"/>
      <c r="K65" s="108" t="s">
        <v>787</v>
      </c>
      <c r="M65" s="101" t="s">
        <v>795</v>
      </c>
      <c r="O65" s="101" t="s">
        <v>799</v>
      </c>
      <c r="P65" s="1238"/>
      <c r="Q65" s="101"/>
      <c r="S65" s="109" t="s">
        <v>800</v>
      </c>
      <c r="T65" s="830"/>
      <c r="AE65" s="1080"/>
      <c r="AF65" s="1080"/>
      <c r="AG65" s="1080"/>
      <c r="AH65" s="1080"/>
      <c r="AI65" s="1080"/>
      <c r="AJ65" s="1080"/>
      <c r="AK65" s="1080"/>
      <c r="AL65" s="1080"/>
    </row>
    <row r="66" spans="1:38" ht="12" customHeight="1">
      <c r="A66" s="100"/>
      <c r="B66"/>
      <c r="C66"/>
      <c r="D66"/>
      <c r="E66" s="1871"/>
      <c r="F66" s="1872"/>
      <c r="G66" s="1872"/>
      <c r="H66" s="1872"/>
      <c r="I66" s="1872"/>
      <c r="J66" s="1873"/>
      <c r="K66" s="1061">
        <f>IFERROR(VLOOKUP("IMPEDANCE ANALYSIS INFORMATION ; 120% max apparent impedance value for Test 4 (Magnitude):",SDA_TABLE[#All],7,FALSE),"")</f>
        <v>0</v>
      </c>
      <c r="L66" s="51" t="s">
        <v>536</v>
      </c>
      <c r="M66" s="67" t="e">
        <f ca="1">$E$11</f>
        <v>#DIV/0!</v>
      </c>
      <c r="N66" s="47" t="s">
        <v>365</v>
      </c>
      <c r="O66" s="68" t="e">
        <f ca="1">K66*M66</f>
        <v>#DIV/0!</v>
      </c>
      <c r="P66" s="1238"/>
      <c r="Q66" s="101"/>
      <c r="S66" s="109"/>
      <c r="T66" s="830"/>
      <c r="AD66" s="1080"/>
      <c r="AE66" s="1080"/>
      <c r="AF66" s="1080"/>
      <c r="AG66" s="1080"/>
      <c r="AH66" s="1080"/>
      <c r="AI66" s="1080"/>
      <c r="AJ66" s="1080"/>
      <c r="AK66" s="1080"/>
      <c r="AL66" s="1080"/>
    </row>
    <row r="67" spans="1:38" ht="15.75" customHeight="1" thickBot="1">
      <c r="A67" s="100"/>
      <c r="B67"/>
      <c r="C67"/>
      <c r="D67"/>
      <c r="E67" s="1874"/>
      <c r="F67" s="1875"/>
      <c r="G67" s="1875"/>
      <c r="H67" s="1875"/>
      <c r="I67" s="1875"/>
      <c r="J67" s="1876"/>
      <c r="K67" s="1076" t="s">
        <v>789</v>
      </c>
      <c r="L67" s="346"/>
      <c r="M67" s="1090" t="s">
        <v>795</v>
      </c>
      <c r="N67" s="346"/>
      <c r="O67" s="1090" t="s">
        <v>799</v>
      </c>
      <c r="P67" s="1239"/>
      <c r="Q67" s="101"/>
      <c r="S67" s="109"/>
      <c r="T67" s="830"/>
      <c r="AD67" s="1080"/>
      <c r="AE67" s="1080"/>
      <c r="AF67" s="1080"/>
      <c r="AG67" s="1080"/>
      <c r="AH67" s="1080"/>
      <c r="AI67" s="1080"/>
      <c r="AJ67" s="1080"/>
      <c r="AK67" s="1080"/>
      <c r="AL67" s="1080"/>
    </row>
    <row r="68" spans="1:38" ht="12" customHeight="1">
      <c r="E68"/>
      <c r="F68"/>
      <c r="G68"/>
      <c r="H68"/>
      <c r="J68"/>
      <c r="K68"/>
      <c r="T68" s="1240"/>
      <c r="W68" s="605" t="s">
        <v>801</v>
      </c>
      <c r="AD68" s="1080"/>
      <c r="AE68" s="1080"/>
      <c r="AF68" s="1080"/>
      <c r="AG68" s="1080"/>
      <c r="AH68" s="1080"/>
      <c r="AI68" s="1080"/>
      <c r="AJ68" s="1080"/>
      <c r="AK68" s="1080"/>
      <c r="AL68" s="1080"/>
    </row>
    <row r="69" spans="1:38" ht="12" customHeight="1" thickBot="1">
      <c r="A69" s="113" t="s">
        <v>802</v>
      </c>
      <c r="B69" s="1241"/>
      <c r="C69"/>
      <c r="D69" s="388" t="s">
        <v>365</v>
      </c>
      <c r="E69" s="68" t="e">
        <f ca="1">ArcResistance</f>
        <v>#DIV/0!</v>
      </c>
      <c r="F69" s="392" t="s">
        <v>536</v>
      </c>
      <c r="G69" s="1242" t="e">
        <f ca="1">$E$11</f>
        <v>#DIV/0!</v>
      </c>
      <c r="H69" s="388" t="s">
        <v>365</v>
      </c>
      <c r="I69" s="1243" t="e">
        <f ca="1">E69*G69</f>
        <v>#DIV/0!</v>
      </c>
      <c r="J69" s="392" t="s">
        <v>452</v>
      </c>
      <c r="K69" s="784" t="s">
        <v>803</v>
      </c>
      <c r="L69" s="670"/>
      <c r="M69" s="1244"/>
      <c r="N69" s="759" t="s">
        <v>365</v>
      </c>
      <c r="O69" s="1243" t="e">
        <f ca="1">I69</f>
        <v>#DIV/0!</v>
      </c>
      <c r="P69" s="392" t="s">
        <v>452</v>
      </c>
      <c r="Q69" s="1242" t="e">
        <f>S24</f>
        <v>#DIV/0!</v>
      </c>
      <c r="R69" s="670"/>
      <c r="S69" s="114"/>
      <c r="T69" s="115"/>
      <c r="U69" s="670"/>
      <c r="W69" s="605" t="s">
        <v>804</v>
      </c>
    </row>
    <row r="70" spans="1:38" ht="12" customHeight="1">
      <c r="A70" s="100"/>
      <c r="E70" s="116" t="s">
        <v>805</v>
      </c>
      <c r="F70"/>
      <c r="G70" s="73" t="s">
        <v>370</v>
      </c>
      <c r="H70" s="144"/>
      <c r="I70" s="71" t="s">
        <v>806</v>
      </c>
      <c r="J70" s="364"/>
      <c r="K70" s="101"/>
      <c r="L70" s="364"/>
      <c r="M70" s="101"/>
      <c r="O70" s="71" t="s">
        <v>807</v>
      </c>
      <c r="Q70" s="71" t="s">
        <v>796</v>
      </c>
      <c r="S70" s="117"/>
    </row>
    <row r="71" spans="1:38" ht="12" customHeight="1">
      <c r="A71" s="1900" t="s">
        <v>808</v>
      </c>
      <c r="B71" s="1738"/>
      <c r="C71" s="1738"/>
      <c r="D71" s="1738"/>
      <c r="E71" s="1738"/>
      <c r="F71" s="1738"/>
      <c r="G71" s="1738"/>
      <c r="H71" s="1073"/>
      <c r="I71" s="1073"/>
      <c r="J71" s="1073"/>
      <c r="K71" s="1073"/>
      <c r="L71" s="364"/>
      <c r="M71" s="101"/>
      <c r="O71" s="71"/>
      <c r="Q71" s="71"/>
      <c r="S71" s="103"/>
    </row>
    <row r="72" spans="1:38" ht="12" customHeight="1">
      <c r="A72" s="100"/>
      <c r="C72"/>
      <c r="D72"/>
      <c r="E72"/>
      <c r="F72"/>
      <c r="G72"/>
      <c r="H72"/>
      <c r="J72" s="364"/>
      <c r="K72" s="101"/>
      <c r="L72" s="364"/>
      <c r="M72" s="101"/>
      <c r="O72" s="71"/>
      <c r="Q72" s="71"/>
      <c r="S72" s="103"/>
    </row>
    <row r="73" spans="1:38" ht="12" customHeight="1">
      <c r="A73" s="98" t="s">
        <v>809</v>
      </c>
      <c r="B73" s="670"/>
      <c r="C73" s="670"/>
      <c r="D73" s="670"/>
      <c r="E73" s="670"/>
      <c r="F73" s="670"/>
      <c r="G73" s="670"/>
      <c r="H73" s="670"/>
      <c r="I73" s="670"/>
      <c r="J73" s="670"/>
      <c r="K73" s="670"/>
      <c r="L73" s="670"/>
      <c r="R73" s="670"/>
      <c r="S73" s="670"/>
      <c r="T73" s="670"/>
      <c r="U73" s="670"/>
    </row>
    <row r="74" spans="1:38" ht="12" customHeight="1">
      <c r="A74" s="98"/>
      <c r="B74" s="670"/>
      <c r="C74" s="670"/>
      <c r="D74" s="670"/>
      <c r="E74" s="670"/>
      <c r="F74" s="670"/>
      <c r="G74" s="670"/>
      <c r="H74" s="670"/>
      <c r="I74" s="670"/>
      <c r="J74" s="670"/>
      <c r="K74" s="670"/>
      <c r="L74" s="670"/>
      <c r="R74" s="670"/>
      <c r="S74" s="670"/>
      <c r="T74" s="670"/>
      <c r="U74" s="670"/>
    </row>
    <row r="75" spans="1:38" ht="12" customHeight="1">
      <c r="A75" s="670"/>
      <c r="B75" s="670"/>
      <c r="C75" s="722" t="s">
        <v>810</v>
      </c>
      <c r="D75" s="900" t="s">
        <v>378</v>
      </c>
      <c r="E75" s="1245" t="str">
        <f>IF(ISERROR(VLOOKUP("Long",'5) Infeed'!$O$42:$P$49,2,FALSE)),"NA",VLOOKUP("Long",'5) Infeed'!$O$42:$P$49,2,FALSE))</f>
        <v/>
      </c>
      <c r="F75" s="670"/>
      <c r="G75" s="523" t="s">
        <v>811</v>
      </c>
      <c r="H75" s="670"/>
      <c r="I75" s="1738" t="s">
        <v>812</v>
      </c>
      <c r="J75" s="1738"/>
      <c r="K75" s="1738"/>
      <c r="L75" s="1738"/>
      <c r="M75" s="670"/>
      <c r="N75" s="1738"/>
      <c r="O75" s="1738"/>
      <c r="P75" s="1738"/>
      <c r="Q75" s="1738"/>
      <c r="R75" s="670"/>
      <c r="S75" s="670"/>
      <c r="T75" s="670"/>
      <c r="U75" s="670"/>
    </row>
    <row r="76" spans="1:38" ht="12" customHeight="1">
      <c r="A76" s="304"/>
      <c r="B76" s="361" t="s">
        <v>365</v>
      </c>
      <c r="C76" s="74">
        <v>1.2</v>
      </c>
      <c r="D76" s="389" t="s">
        <v>536</v>
      </c>
      <c r="E76" s="1903">
        <f>IF(E75="NA","NA",VLOOKUP(E75,'5) Infeed'!P42:T50,3,FALSE))</f>
        <v>0</v>
      </c>
      <c r="F76" s="1903"/>
      <c r="G76" s="1903"/>
      <c r="H76" s="388" t="s">
        <v>536</v>
      </c>
      <c r="I76" s="69" t="e">
        <f ca="1">$E$11</f>
        <v>#DIV/0!</v>
      </c>
      <c r="J76" s="52"/>
      <c r="K76" s="1153"/>
      <c r="L76" s="52"/>
      <c r="M76" s="1153"/>
      <c r="N76" s="52"/>
      <c r="O76" s="387"/>
      <c r="P76" s="1246"/>
      <c r="Q76" s="70"/>
      <c r="R76" s="759" t="s">
        <v>378</v>
      </c>
      <c r="S76" s="731" t="s">
        <v>813</v>
      </c>
      <c r="T76" s="1247" t="s">
        <v>365</v>
      </c>
      <c r="U76" s="133" t="e">
        <f ca="1">IF(E76="NA","NA",C76*E76*I76)</f>
        <v>#DIV/0!</v>
      </c>
      <c r="W76" s="605" t="s">
        <v>814</v>
      </c>
    </row>
    <row r="77" spans="1:38" ht="15.6">
      <c r="C77" s="71" t="s">
        <v>544</v>
      </c>
      <c r="E77" s="101"/>
      <c r="F77" s="71" t="s">
        <v>815</v>
      </c>
      <c r="G77" s="72"/>
      <c r="H77" s="144"/>
      <c r="I77" s="73" t="s">
        <v>370</v>
      </c>
      <c r="J77" s="364"/>
      <c r="K77" s="71"/>
      <c r="L77" s="71"/>
      <c r="M77" s="71"/>
      <c r="N77" s="51"/>
      <c r="O77" s="71"/>
      <c r="Q77" s="73"/>
      <c r="S77" s="587"/>
      <c r="T77" s="587"/>
      <c r="U77" s="135">
        <f>IF(E75="NA","NA",VLOOKUP(E75,'5) Infeed'!P42:T50,5,FALSE))</f>
        <v>0</v>
      </c>
      <c r="W77" s="605" t="s">
        <v>816</v>
      </c>
    </row>
    <row r="78" spans="1:38" ht="15" customHeight="1" thickBot="1">
      <c r="C78" s="71"/>
      <c r="E78" s="101"/>
      <c r="F78" s="71"/>
      <c r="G78" s="72"/>
      <c r="H78" s="144"/>
      <c r="I78" s="73"/>
      <c r="J78" s="364"/>
      <c r="K78" s="71"/>
      <c r="L78" s="71"/>
      <c r="M78" s="71"/>
      <c r="N78" s="51"/>
      <c r="O78" s="71"/>
      <c r="Q78" s="73"/>
      <c r="S78" s="587"/>
      <c r="T78" s="587"/>
      <c r="U78" s="123"/>
    </row>
    <row r="79" spans="1:38" ht="21" customHeight="1">
      <c r="B79" s="1868" t="s">
        <v>817</v>
      </c>
      <c r="C79" s="1869"/>
      <c r="D79" s="1869"/>
      <c r="E79" s="1869"/>
      <c r="F79" s="1870"/>
      <c r="G79" s="1093">
        <f>IFERROR(VLOOKUP("IMPEDANCE ANALYSIS INFORMATION ; 120% min apparent impedance value for Test 6 (Magnitude):",SDA_TABLE[#All],7,FALSE),"")</f>
        <v>0</v>
      </c>
      <c r="H79" s="1091" t="s">
        <v>536</v>
      </c>
      <c r="I79" s="1069" t="e">
        <f ca="1">$E$11</f>
        <v>#DIV/0!</v>
      </c>
      <c r="J79" s="1070" t="s">
        <v>365</v>
      </c>
      <c r="K79" s="1071" t="e">
        <f ca="1">G79*I79</f>
        <v>#DIV/0!</v>
      </c>
      <c r="L79" s="1237"/>
      <c r="M79" s="1080"/>
      <c r="Q79" s="73"/>
      <c r="S79" s="587"/>
      <c r="T79" s="587"/>
      <c r="U79" s="123"/>
    </row>
    <row r="80" spans="1:38" ht="9.75" customHeight="1">
      <c r="B80" s="1871"/>
      <c r="C80" s="1872"/>
      <c r="D80" s="1872"/>
      <c r="E80" s="1872"/>
      <c r="F80" s="1873"/>
      <c r="G80" s="1087" t="s">
        <v>787</v>
      </c>
      <c r="H80" s="144"/>
      <c r="I80" s="73" t="s">
        <v>370</v>
      </c>
      <c r="J80"/>
      <c r="K80" s="101" t="s">
        <v>818</v>
      </c>
      <c r="L80" s="1238"/>
      <c r="M80" s="1080"/>
      <c r="Q80" s="73"/>
      <c r="S80" s="587"/>
      <c r="T80" s="587"/>
      <c r="U80" s="123"/>
    </row>
    <row r="81" spans="1:25" ht="15.6">
      <c r="B81" s="1871"/>
      <c r="C81" s="1872"/>
      <c r="D81" s="1872"/>
      <c r="E81" s="1872"/>
      <c r="F81" s="1873"/>
      <c r="G81" s="1086">
        <f>IFERROR(VLOOKUP("IMPEDANCE ANALYSIS INFORMATION ; 120% max apparent impedance value for Test 6 (Magnitude):",SDA_TABLE[#All],7,FALSE),"")</f>
        <v>0</v>
      </c>
      <c r="H81" s="388" t="s">
        <v>536</v>
      </c>
      <c r="I81" s="69" t="e">
        <f ca="1">$E$11</f>
        <v>#DIV/0!</v>
      </c>
      <c r="J81" s="47" t="s">
        <v>365</v>
      </c>
      <c r="K81" s="68" t="e">
        <f ca="1">G81*I81</f>
        <v>#DIV/0!</v>
      </c>
      <c r="L81" s="1238"/>
      <c r="M81" s="1080"/>
      <c r="Q81" s="73"/>
      <c r="S81" s="587"/>
      <c r="T81" s="587"/>
      <c r="U81" s="123"/>
    </row>
    <row r="82" spans="1:25" ht="12" customHeight="1">
      <c r="B82" s="1871"/>
      <c r="C82" s="1872"/>
      <c r="D82" s="1872"/>
      <c r="E82" s="1872"/>
      <c r="F82" s="1873"/>
      <c r="G82" s="1087" t="s">
        <v>789</v>
      </c>
      <c r="H82" s="144"/>
      <c r="I82" s="73" t="s">
        <v>370</v>
      </c>
      <c r="J82"/>
      <c r="K82" s="101" t="s">
        <v>818</v>
      </c>
      <c r="L82" s="1238"/>
      <c r="M82" s="1080"/>
      <c r="Q82" s="73"/>
      <c r="S82" s="587"/>
      <c r="T82" s="587"/>
      <c r="U82" s="123"/>
    </row>
    <row r="83" spans="1:25" ht="24.75" customHeight="1" thickBot="1">
      <c r="B83" s="1874"/>
      <c r="C83" s="1875"/>
      <c r="D83" s="1875"/>
      <c r="E83" s="1875"/>
      <c r="F83" s="1876"/>
      <c r="G83" s="1088"/>
      <c r="H83" s="1092"/>
      <c r="I83" s="1077"/>
      <c r="J83" s="1081"/>
      <c r="K83" s="1081"/>
      <c r="L83" s="1082"/>
      <c r="M83" s="1080"/>
      <c r="Q83" s="73"/>
      <c r="S83" s="587"/>
      <c r="T83" s="587"/>
      <c r="U83" s="123"/>
    </row>
    <row r="84" spans="1:25" ht="15.6">
      <c r="A84" s="100"/>
      <c r="E84" s="1877"/>
      <c r="F84" s="1877"/>
      <c r="G84" s="1877"/>
      <c r="H84" s="144"/>
      <c r="I84" s="71"/>
      <c r="J84" s="364"/>
      <c r="K84" s="1877"/>
      <c r="L84" s="1877"/>
      <c r="M84" s="1877"/>
      <c r="N84" s="1519" t="s">
        <v>819</v>
      </c>
      <c r="O84" s="1519"/>
      <c r="P84" s="1519"/>
      <c r="Q84" s="1519"/>
      <c r="R84" s="1519"/>
      <c r="S84" s="1519"/>
      <c r="T84" s="1519"/>
      <c r="U84" s="1519"/>
    </row>
    <row r="85" spans="1:25" ht="15.6">
      <c r="A85" s="100"/>
      <c r="E85" s="1877"/>
      <c r="F85" s="1877"/>
      <c r="G85" s="1877"/>
      <c r="H85" s="144"/>
      <c r="I85" s="71"/>
      <c r="J85" s="364"/>
      <c r="K85" s="1877"/>
      <c r="L85" s="1877"/>
      <c r="M85" s="1877"/>
      <c r="N85" s="1519"/>
      <c r="O85" s="1519"/>
      <c r="P85" s="1519"/>
      <c r="Q85" s="1519"/>
      <c r="R85" s="1519"/>
      <c r="S85" s="1519"/>
      <c r="T85" s="1519"/>
      <c r="U85" s="1519"/>
    </row>
    <row r="86" spans="1:25" ht="15.6">
      <c r="A86" s="100"/>
      <c r="E86" s="1395"/>
      <c r="F86" s="1395"/>
      <c r="G86" s="1395"/>
      <c r="H86" s="144"/>
      <c r="I86" s="71"/>
      <c r="J86" s="364"/>
      <c r="K86" s="1395"/>
      <c r="L86" s="1395"/>
      <c r="M86" s="1395"/>
      <c r="N86" s="1519"/>
      <c r="O86" s="1519"/>
      <c r="P86" s="1519"/>
      <c r="Q86" s="1519"/>
      <c r="R86" s="1519"/>
      <c r="S86" s="1519"/>
      <c r="T86" s="1519"/>
      <c r="U86" s="1519"/>
    </row>
    <row r="87" spans="1:25" ht="12" customHeight="1">
      <c r="A87" s="100"/>
      <c r="E87" s="1395"/>
      <c r="F87" s="1395"/>
      <c r="G87" s="1395"/>
      <c r="H87" s="144"/>
      <c r="I87" s="71"/>
      <c r="J87" s="364"/>
      <c r="K87" s="1395"/>
      <c r="L87" s="1395"/>
      <c r="M87" s="1395"/>
      <c r="N87" s="1519"/>
      <c r="O87" s="1519"/>
      <c r="P87" s="1519"/>
      <c r="Q87" s="1519"/>
      <c r="R87" s="1519"/>
      <c r="S87" s="1519"/>
      <c r="T87" s="1519"/>
      <c r="U87" s="1519"/>
    </row>
    <row r="88" spans="1:25" s="41" customFormat="1" ht="12" customHeight="1">
      <c r="A88" s="784"/>
      <c r="B88" s="762"/>
      <c r="C88" s="762"/>
      <c r="D88" s="389"/>
      <c r="E88" s="118"/>
      <c r="F88" s="392"/>
      <c r="G88" s="670"/>
      <c r="H88" s="670"/>
      <c r="I88" s="670"/>
      <c r="J88" s="670"/>
      <c r="K88" s="670"/>
      <c r="L88" s="670"/>
      <c r="M88" s="670"/>
      <c r="N88" s="670"/>
      <c r="O88" s="670"/>
      <c r="P88" s="1024"/>
      <c r="Q88" s="670"/>
      <c r="R88" s="670"/>
      <c r="S88" s="116" t="s">
        <v>26</v>
      </c>
      <c r="T88" s="77"/>
      <c r="U88" s="1129"/>
      <c r="V88" s="670"/>
      <c r="W88" s="605"/>
      <c r="X88" s="670"/>
      <c r="Y88" s="611"/>
    </row>
    <row r="89" spans="1:25" s="41" customFormat="1" ht="12" customHeight="1">
      <c r="A89" s="1059" t="s">
        <v>759</v>
      </c>
      <c r="B89" s="1248"/>
      <c r="C89" s="1248"/>
      <c r="D89" s="1248"/>
      <c r="E89" s="1248"/>
      <c r="F89" s="1248"/>
      <c r="G89" s="1248"/>
      <c r="H89" s="1248"/>
      <c r="I89" s="1387"/>
      <c r="J89" s="1388"/>
      <c r="K89" s="119"/>
      <c r="L89" s="120"/>
      <c r="M89" s="323" t="s">
        <v>820</v>
      </c>
      <c r="N89" s="47" t="s">
        <v>365</v>
      </c>
      <c r="O89" s="105" t="e">
        <f ca="1">MAX(U49,U62,(IF(ISERROR(U76),0,U76)))</f>
        <v>#DIV/0!</v>
      </c>
      <c r="P89" s="392" t="s">
        <v>452</v>
      </c>
      <c r="Q89" s="106" t="e">
        <f ca="1">IF(O89=U49,U50,IF(O89=U62,U63,U77))</f>
        <v>#DIV/0!</v>
      </c>
      <c r="R89" s="759" t="s">
        <v>378</v>
      </c>
      <c r="S89" s="78" t="e">
        <f ca="1">IF(O90&lt;&gt;"",O90,IF(O89=U49,ROUNDDOWN(U49,2),ROUNDUP(O89,2)))</f>
        <v>#DIV/0!</v>
      </c>
      <c r="T89" s="392" t="s">
        <v>452</v>
      </c>
      <c r="U89" s="106" t="e">
        <f ca="1">IF(Q90="",Q89,Q90)</f>
        <v>#DIV/0!</v>
      </c>
      <c r="V89" s="670"/>
      <c r="W89" s="605" t="s">
        <v>821</v>
      </c>
      <c r="X89" s="670"/>
      <c r="Y89" s="611" t="s">
        <v>782</v>
      </c>
    </row>
    <row r="90" spans="1:25" s="41" customFormat="1" ht="12" customHeight="1">
      <c r="A90" s="1249"/>
      <c r="B90" s="1250"/>
      <c r="C90" s="1250"/>
      <c r="D90" s="1250"/>
      <c r="E90" s="1250"/>
      <c r="F90" s="1250"/>
      <c r="G90" s="1250"/>
      <c r="H90" s="1250"/>
      <c r="I90" s="1389"/>
      <c r="J90" s="1390"/>
      <c r="K90" s="670"/>
      <c r="L90" s="670"/>
      <c r="M90" s="670" t="s">
        <v>573</v>
      </c>
      <c r="N90" s="1024" t="s">
        <v>378</v>
      </c>
      <c r="O90" s="121"/>
      <c r="P90" s="670"/>
      <c r="Q90" s="1251"/>
      <c r="R90" s="670"/>
      <c r="S90" s="670"/>
      <c r="T90" s="122"/>
      <c r="U90" s="123"/>
      <c r="V90" s="670"/>
      <c r="W90" s="605"/>
      <c r="X90" s="670"/>
      <c r="Y90" s="611"/>
    </row>
    <row r="91" spans="1:25" ht="12" customHeight="1">
      <c r="A91" s="1252"/>
      <c r="B91" s="1253"/>
      <c r="C91" s="1253"/>
      <c r="D91" s="1253"/>
      <c r="E91" s="1253"/>
      <c r="F91" s="1253"/>
      <c r="G91" s="1253"/>
      <c r="H91" s="1253"/>
      <c r="I91" s="1391"/>
      <c r="J91" s="1392"/>
      <c r="K91"/>
      <c r="M91" s="1909" t="e">
        <f ca="1">IF(S89&gt;U49,"Since Z2 reach is greater than half of the shortest second line, the timer needs to be increased to coordinate with Z2 timers at the next station.","")</f>
        <v>#DIV/0!</v>
      </c>
      <c r="N91" s="1909"/>
      <c r="O91" s="1909"/>
      <c r="P91" s="1909"/>
      <c r="Q91" s="1909"/>
      <c r="R91" s="1909"/>
      <c r="S91" s="1909"/>
      <c r="T91" s="1909"/>
      <c r="U91" s="1909"/>
    </row>
    <row r="92" spans="1:25" s="41" customFormat="1" ht="15" customHeight="1">
      <c r="A92" s="784"/>
      <c r="B92" s="762"/>
      <c r="C92" s="762"/>
      <c r="D92" s="389"/>
      <c r="E92" s="118"/>
      <c r="F92" s="392"/>
      <c r="G92" s="670"/>
      <c r="H92" s="670"/>
      <c r="I92" s="670"/>
      <c r="J92" s="670"/>
      <c r="K92" s="670"/>
      <c r="L92" s="670"/>
      <c r="M92" s="1909"/>
      <c r="N92" s="1909"/>
      <c r="O92" s="1909"/>
      <c r="P92" s="1909"/>
      <c r="Q92" s="1909"/>
      <c r="R92" s="1909"/>
      <c r="S92" s="1909"/>
      <c r="T92" s="1909"/>
      <c r="U92" s="1909"/>
      <c r="V92" s="670"/>
      <c r="W92" s="605"/>
      <c r="X92" s="670"/>
      <c r="Y92" s="611"/>
    </row>
    <row r="93" spans="1:25" s="41" customFormat="1" ht="13.5" customHeight="1">
      <c r="A93" s="784"/>
      <c r="B93" s="762"/>
      <c r="C93" s="762"/>
      <c r="D93" s="389"/>
      <c r="E93" s="118"/>
      <c r="F93" s="392"/>
      <c r="G93" s="670"/>
      <c r="H93" s="670"/>
      <c r="I93" s="670"/>
      <c r="J93" s="670"/>
      <c r="K93" s="670"/>
      <c r="L93" s="670"/>
      <c r="M93" s="755"/>
      <c r="N93" s="755"/>
      <c r="O93" s="755"/>
      <c r="P93" s="755"/>
      <c r="Q93" s="755"/>
      <c r="R93" s="755"/>
      <c r="S93" s="755"/>
      <c r="T93" s="755"/>
      <c r="U93" s="755"/>
      <c r="V93" s="670"/>
      <c r="W93" s="605"/>
      <c r="X93" s="670"/>
      <c r="Y93" s="611"/>
    </row>
    <row r="94" spans="1:25" s="41" customFormat="1" ht="12" customHeight="1">
      <c r="A94" s="784"/>
      <c r="B94" s="762"/>
      <c r="C94" s="762"/>
      <c r="D94" s="389"/>
      <c r="E94" s="118"/>
      <c r="F94" s="392"/>
      <c r="G94" s="670"/>
      <c r="H94" s="670"/>
      <c r="I94" s="670"/>
      <c r="J94" s="670"/>
      <c r="K94" s="670"/>
      <c r="L94" s="670"/>
      <c r="M94" s="1921" t="e">
        <f ca="1">IF(U129&lt;=_Z2P,"Zone 2 is reaching in to the Tapped Distribution Transformers, please decrease the Z2P and Z2MG reach","Zone 2 reach is good and is not reaching into distribution tranformers, confirm it with ASPEN.")</f>
        <v>#N/A</v>
      </c>
      <c r="N94" s="1921"/>
      <c r="O94" s="1921"/>
      <c r="P94" s="1921"/>
      <c r="Q94" s="1921"/>
      <c r="R94" s="1921"/>
      <c r="S94" s="1921"/>
      <c r="T94" s="1921"/>
      <c r="U94" s="1921"/>
      <c r="V94" s="670"/>
      <c r="W94" s="605"/>
      <c r="X94" s="670"/>
      <c r="Y94" s="611"/>
    </row>
    <row r="95" spans="1:25" s="41" customFormat="1" ht="15.75" customHeight="1">
      <c r="A95" s="784"/>
      <c r="B95" s="762"/>
      <c r="C95" s="762"/>
      <c r="D95" s="389"/>
      <c r="E95" s="118"/>
      <c r="F95" s="392"/>
      <c r="G95" s="670"/>
      <c r="H95" s="670"/>
      <c r="I95" s="670"/>
      <c r="J95" s="670"/>
      <c r="K95" s="670"/>
      <c r="L95" s="670"/>
      <c r="M95" s="1921"/>
      <c r="N95" s="1921"/>
      <c r="O95" s="1921"/>
      <c r="P95" s="1921"/>
      <c r="Q95" s="1921"/>
      <c r="R95" s="1921"/>
      <c r="S95" s="1921"/>
      <c r="T95" s="1921"/>
      <c r="U95" s="1921"/>
      <c r="V95" s="670"/>
      <c r="W95" s="605"/>
      <c r="X95" s="670"/>
      <c r="Y95" s="611"/>
    </row>
    <row r="96" spans="1:25" s="41" customFormat="1" ht="12" customHeight="1">
      <c r="A96" s="938" t="s">
        <v>822</v>
      </c>
      <c r="B96" s="936"/>
      <c r="C96" s="936"/>
      <c r="D96" s="937"/>
      <c r="E96" s="101"/>
      <c r="F96" s="51"/>
      <c r="G96" s="101"/>
      <c r="H96" s="144"/>
      <c r="I96" s="71"/>
      <c r="J96" s="364"/>
      <c r="K96" s="108"/>
      <c r="L96" s="364"/>
      <c r="M96" s="328"/>
      <c r="N96"/>
      <c r="O96" s="71"/>
      <c r="P96"/>
      <c r="Q96" s="71"/>
      <c r="R96"/>
      <c r="S96"/>
      <c r="T96"/>
      <c r="U96" s="71"/>
      <c r="V96" s="670"/>
      <c r="W96" s="605"/>
      <c r="X96" s="670"/>
      <c r="Y96" s="611"/>
    </row>
    <row r="97" spans="1:25" s="41" customFormat="1" ht="12" customHeight="1">
      <c r="A97" s="670"/>
      <c r="B97"/>
      <c r="C97" s="138" t="s">
        <v>823</v>
      </c>
      <c r="D97" s="52" t="s">
        <v>365</v>
      </c>
      <c r="E97" s="927">
        <v>2</v>
      </c>
      <c r="F97" s="51" t="s">
        <v>536</v>
      </c>
      <c r="G97" s="68">
        <f ca="1">M24</f>
        <v>0</v>
      </c>
      <c r="H97" s="37" t="s">
        <v>536</v>
      </c>
      <c r="I97" s="69" t="e">
        <f ca="1">E11</f>
        <v>#DIV/0!</v>
      </c>
      <c r="J97" s="37" t="s">
        <v>365</v>
      </c>
      <c r="K97" s="68">
        <f ca="1">E97*G97</f>
        <v>0</v>
      </c>
      <c r="L97" s="51" t="s">
        <v>536</v>
      </c>
      <c r="M97" s="69" t="e">
        <f ca="1">E11</f>
        <v>#DIV/0!</v>
      </c>
      <c r="N97" s="47" t="s">
        <v>365</v>
      </c>
      <c r="O97" s="68" t="e">
        <f ca="1">K97*M97</f>
        <v>#DIV/0!</v>
      </c>
      <c r="P97" s="392" t="s">
        <v>452</v>
      </c>
      <c r="Q97" s="69" t="e">
        <f>S24</f>
        <v>#DIV/0!</v>
      </c>
      <c r="R97"/>
      <c r="S97" s="103" t="s">
        <v>824</v>
      </c>
      <c r="T97" s="51" t="s">
        <v>365</v>
      </c>
      <c r="U97" s="105" t="e">
        <f ca="1">O97</f>
        <v>#DIV/0!</v>
      </c>
      <c r="V97" s="670"/>
      <c r="W97" s="605" t="s">
        <v>825</v>
      </c>
      <c r="X97" s="670"/>
      <c r="Y97" s="611"/>
    </row>
    <row r="98" spans="1:25" s="41" customFormat="1" ht="12" customHeight="1">
      <c r="A98" s="100"/>
      <c r="B98" s="33"/>
      <c r="C98" s="33"/>
      <c r="D98" s="37"/>
      <c r="E98" s="71" t="s">
        <v>544</v>
      </c>
      <c r="F98" s="51"/>
      <c r="G98" s="101" t="s">
        <v>794</v>
      </c>
      <c r="H98" s="37"/>
      <c r="I98" s="101" t="s">
        <v>370</v>
      </c>
      <c r="J98" s="364"/>
      <c r="K98" s="101" t="s">
        <v>826</v>
      </c>
      <c r="L98"/>
      <c r="M98" s="101" t="s">
        <v>795</v>
      </c>
      <c r="N98"/>
      <c r="O98" s="101" t="s">
        <v>783</v>
      </c>
      <c r="P98" s="364"/>
      <c r="Q98" s="101" t="s">
        <v>796</v>
      </c>
      <c r="R98"/>
      <c r="S98"/>
      <c r="T98"/>
      <c r="U98" s="106" t="e">
        <f>Q97</f>
        <v>#DIV/0!</v>
      </c>
      <c r="V98" s="670"/>
      <c r="W98" s="605" t="s">
        <v>827</v>
      </c>
      <c r="X98" s="670"/>
      <c r="Y98" s="611"/>
    </row>
    <row r="99" spans="1:25" s="41" customFormat="1" ht="12" customHeight="1">
      <c r="A99" s="100"/>
      <c r="B99" s="33"/>
      <c r="C99" s="33"/>
      <c r="D99" s="37"/>
      <c r="E99" s="71"/>
      <c r="F99" s="51"/>
      <c r="G99" s="101"/>
      <c r="H99" s="37"/>
      <c r="I99" s="101"/>
      <c r="J99" s="364"/>
      <c r="K99" s="101"/>
      <c r="L99"/>
      <c r="M99" s="101"/>
      <c r="N99"/>
      <c r="O99" s="101"/>
      <c r="P99" s="364"/>
      <c r="Q99" s="101"/>
      <c r="R99"/>
      <c r="S99"/>
      <c r="T99"/>
      <c r="U99" s="107"/>
      <c r="V99" s="670"/>
      <c r="W99" s="605"/>
      <c r="X99" s="670"/>
      <c r="Y99" s="611"/>
    </row>
    <row r="100" spans="1:25" s="41" customFormat="1" ht="12" customHeight="1">
      <c r="A100" s="100"/>
      <c r="B100" s="33"/>
      <c r="C100" s="33"/>
      <c r="D100" s="37"/>
      <c r="E100" s="71"/>
      <c r="F100" s="51"/>
      <c r="G100" s="722" t="s">
        <v>828</v>
      </c>
      <c r="H100" s="1898"/>
      <c r="I100" s="1898"/>
      <c r="J100" s="784" t="str">
        <f>IF(H100="NO","No further action required in this section","")</f>
        <v/>
      </c>
      <c r="K100" s="101"/>
      <c r="L100"/>
      <c r="M100" s="101"/>
      <c r="N100"/>
      <c r="O100" s="101"/>
      <c r="P100" s="364"/>
      <c r="Q100" s="101"/>
      <c r="R100"/>
      <c r="S100"/>
      <c r="T100"/>
      <c r="U100" s="107"/>
      <c r="V100" s="670"/>
      <c r="W100" s="605"/>
      <c r="X100" s="670"/>
      <c r="Y100" s="611"/>
    </row>
    <row r="101" spans="1:25" s="41" customFormat="1" ht="12" customHeight="1">
      <c r="A101" s="100"/>
      <c r="B101" s="33"/>
      <c r="C101" s="33"/>
      <c r="D101" s="37"/>
      <c r="E101" s="71"/>
      <c r="F101" s="51"/>
      <c r="G101" s="722" t="str">
        <f>IF(H100="NO","LEAVE BLANK","What is longest adjacent second line?")</f>
        <v>What is longest adjacent second line?</v>
      </c>
      <c r="H101" s="1899"/>
      <c r="I101" s="1899"/>
      <c r="J101" s="364"/>
      <c r="K101" s="101"/>
      <c r="L101"/>
      <c r="M101" s="101"/>
      <c r="N101"/>
      <c r="O101" s="101"/>
      <c r="P101" s="364"/>
      <c r="Q101" s="101"/>
      <c r="R101"/>
      <c r="S101"/>
      <c r="T101"/>
      <c r="U101" s="107"/>
      <c r="V101" s="670"/>
      <c r="W101" s="605"/>
      <c r="X101" s="670"/>
      <c r="Y101" s="611"/>
    </row>
    <row r="102" spans="1:25" s="41" customFormat="1" ht="12" customHeight="1">
      <c r="A102" s="100"/>
      <c r="B102" s="33"/>
      <c r="C102" s="33"/>
      <c r="D102" s="37"/>
      <c r="E102" s="71"/>
      <c r="F102" s="51"/>
      <c r="G102" s="101"/>
      <c r="H102" s="37"/>
      <c r="I102" s="101"/>
      <c r="J102" s="364"/>
      <c r="K102" s="101"/>
      <c r="L102"/>
      <c r="M102" s="101"/>
      <c r="N102"/>
      <c r="O102" s="101"/>
      <c r="P102" s="364"/>
      <c r="Q102" s="101"/>
      <c r="R102"/>
      <c r="S102"/>
      <c r="T102"/>
      <c r="U102" s="107"/>
      <c r="V102" s="670"/>
      <c r="W102" s="605"/>
      <c r="X102" s="670"/>
      <c r="Y102" s="611"/>
    </row>
    <row r="103" spans="1:25" s="41" customFormat="1" ht="12" customHeight="1" thickBot="1">
      <c r="A103" s="100"/>
      <c r="B103" s="33"/>
      <c r="C103" s="33"/>
      <c r="D103" s="37"/>
      <c r="E103" s="71"/>
      <c r="F103" s="51"/>
      <c r="G103" s="101"/>
      <c r="H103" s="37"/>
      <c r="I103" s="101"/>
      <c r="J103" s="364"/>
      <c r="K103" s="101"/>
      <c r="L103"/>
      <c r="M103" s="101"/>
      <c r="N103"/>
      <c r="O103" s="101"/>
      <c r="P103" s="364"/>
      <c r="Q103" s="101"/>
      <c r="R103"/>
      <c r="S103"/>
      <c r="T103"/>
      <c r="U103" s="107"/>
      <c r="V103" s="670"/>
      <c r="W103" s="605"/>
      <c r="X103" s="670"/>
      <c r="Y103" s="611"/>
    </row>
    <row r="104" spans="1:25" s="41" customFormat="1" ht="12" customHeight="1" thickBot="1">
      <c r="A104" s="100"/>
      <c r="B104" s="33"/>
      <c r="C104" s="33"/>
      <c r="D104" s="37"/>
      <c r="E104" s="1878" t="s">
        <v>829</v>
      </c>
      <c r="F104" s="1878"/>
      <c r="G104" s="1878"/>
      <c r="H104" s="1878"/>
      <c r="I104" s="1878"/>
      <c r="J104" s="1878"/>
      <c r="K104" s="1878"/>
      <c r="L104" s="1878"/>
      <c r="M104" s="1879"/>
      <c r="N104"/>
      <c r="O104" s="1061">
        <f>IFERROR(VLOOKUP("IMPEDANCE ANALYSIS INFORMATION ; 200% min apparent impedance value for Test 7 (Magnitude):",SDA_TABLE[#All],7,FALSE),"")</f>
        <v>0</v>
      </c>
      <c r="P104" s="364"/>
      <c r="Q104" s="101"/>
      <c r="R104"/>
      <c r="S104"/>
      <c r="T104"/>
      <c r="U104" s="107"/>
      <c r="V104" s="670"/>
      <c r="W104" s="605"/>
      <c r="X104" s="670"/>
      <c r="Y104" s="611"/>
    </row>
    <row r="105" spans="1:25" s="41" customFormat="1" ht="12" customHeight="1">
      <c r="A105" s="100"/>
      <c r="B105" s="33"/>
      <c r="C105" s="33"/>
      <c r="D105" s="37"/>
      <c r="E105" s="1880"/>
      <c r="F105" s="1880"/>
      <c r="G105" s="1880"/>
      <c r="H105" s="1880"/>
      <c r="I105" s="1880"/>
      <c r="J105" s="1880"/>
      <c r="K105" s="1880"/>
      <c r="L105" s="1880"/>
      <c r="M105" s="1881"/>
      <c r="N105" s="1062"/>
      <c r="O105" s="108" t="s">
        <v>830</v>
      </c>
      <c r="P105" s="364"/>
      <c r="Q105" s="101"/>
      <c r="R105"/>
      <c r="S105"/>
      <c r="T105"/>
      <c r="U105" s="107"/>
      <c r="V105" s="670"/>
      <c r="W105" s="605"/>
      <c r="X105" s="670"/>
      <c r="Y105" s="611"/>
    </row>
    <row r="106" spans="1:25" s="41" customFormat="1" ht="12" customHeight="1" thickBot="1">
      <c r="A106" s="100"/>
      <c r="B106" s="33"/>
      <c r="C106" s="33"/>
      <c r="D106" s="37"/>
      <c r="E106" s="1880"/>
      <c r="F106" s="1880"/>
      <c r="G106" s="1880"/>
      <c r="H106" s="1880"/>
      <c r="I106" s="1880"/>
      <c r="J106" s="1880"/>
      <c r="K106" s="1880"/>
      <c r="L106" s="1880"/>
      <c r="M106" s="1881"/>
      <c r="N106" s="110"/>
      <c r="O106" s="1061">
        <f>IFERROR(VLOOKUP("IMPEDANCE ANALYSIS INFORMATION ; 200% max apparent impedance value for Test 7 (Magnitude):",SDA_TABLE[#All],7,FALSE),"")</f>
        <v>0</v>
      </c>
      <c r="P106" s="364"/>
      <c r="Q106" s="101"/>
      <c r="R106"/>
      <c r="S106"/>
      <c r="T106"/>
      <c r="U106" s="107"/>
      <c r="V106" s="670"/>
      <c r="W106" s="605"/>
      <c r="X106" s="670"/>
      <c r="Y106" s="611"/>
    </row>
    <row r="107" spans="1:25" s="41" customFormat="1" ht="12" customHeight="1" thickBot="1">
      <c r="A107" s="100"/>
      <c r="B107" s="33"/>
      <c r="C107" s="33"/>
      <c r="D107" s="37"/>
      <c r="E107" s="1882"/>
      <c r="F107" s="1882"/>
      <c r="G107" s="1882"/>
      <c r="H107" s="1882"/>
      <c r="I107" s="1882"/>
      <c r="J107" s="1882"/>
      <c r="K107" s="1882"/>
      <c r="L107" s="1882"/>
      <c r="M107" s="1883"/>
      <c r="N107"/>
      <c r="O107" s="108" t="s">
        <v>831</v>
      </c>
      <c r="P107" s="364"/>
      <c r="Q107" s="101"/>
      <c r="R107"/>
      <c r="S107"/>
      <c r="T107"/>
      <c r="U107" s="107"/>
      <c r="V107" s="670"/>
      <c r="W107" s="605"/>
      <c r="X107" s="670"/>
      <c r="Y107" s="611"/>
    </row>
    <row r="108" spans="1:25" s="41" customFormat="1" ht="12" customHeight="1">
      <c r="A108" s="100"/>
      <c r="B108" s="33"/>
      <c r="C108" s="33"/>
      <c r="D108" s="37"/>
      <c r="E108" s="71"/>
      <c r="F108" s="51"/>
      <c r="G108" s="101"/>
      <c r="H108" s="37"/>
      <c r="I108" s="101"/>
      <c r="J108" s="364"/>
      <c r="K108" s="101"/>
      <c r="L108"/>
      <c r="M108" s="101"/>
      <c r="N108"/>
      <c r="O108" s="101"/>
      <c r="P108" s="364"/>
      <c r="Q108" s="101"/>
      <c r="R108"/>
      <c r="S108"/>
      <c r="T108"/>
      <c r="U108" s="107"/>
      <c r="V108" s="670"/>
      <c r="W108" s="605"/>
      <c r="X108" s="670"/>
      <c r="Y108" s="611"/>
    </row>
    <row r="109" spans="1:25" s="41" customFormat="1" ht="12" customHeight="1">
      <c r="A109" s="100"/>
      <c r="B109" s="33"/>
      <c r="C109" s="138" t="s">
        <v>832</v>
      </c>
      <c r="D109" s="52" t="s">
        <v>365</v>
      </c>
      <c r="E109" s="927">
        <v>1.2</v>
      </c>
      <c r="F109" s="392" t="s">
        <v>833</v>
      </c>
      <c r="G109" s="66" t="e">
        <f ca="1">E24*E6*E11</f>
        <v>#DIV/0!</v>
      </c>
      <c r="H109" s="52" t="s">
        <v>461</v>
      </c>
      <c r="I109" s="66" t="e">
        <f ca="1">G24*E6*E11</f>
        <v>#DIV/0!</v>
      </c>
      <c r="J109" s="388" t="s">
        <v>834</v>
      </c>
      <c r="K109" s="66" t="str">
        <f>IF(H101="","NA",VLOOKUP(H101,'1) Data Entry'!AA370:AE381,2,FALSE)*E6*E11)</f>
        <v>NA</v>
      </c>
      <c r="L109" s="52" t="s">
        <v>461</v>
      </c>
      <c r="M109" s="66" t="str">
        <f>IF(H101="","NA",VLOOKUP(H101,'1) Data Entry'!AA370:AE381,3,FALSE)*E6*E11)</f>
        <v>NA</v>
      </c>
      <c r="N109" s="759" t="s">
        <v>835</v>
      </c>
      <c r="O109" s="68" t="str">
        <f>IF(H101="","NA",E109*SQRT((G109+K109)^2+(I109+M109)^2))</f>
        <v>NA</v>
      </c>
      <c r="P109" s="392" t="s">
        <v>452</v>
      </c>
      <c r="Q109" s="69" t="str">
        <f>IF(H101="","NA",DEGREES(ATAN2((G109+K109),(I109+M109))))</f>
        <v>NA</v>
      </c>
      <c r="R109"/>
      <c r="S109" s="103" t="s">
        <v>824</v>
      </c>
      <c r="T109" s="51" t="s">
        <v>365</v>
      </c>
      <c r="U109" s="105" t="str">
        <f>O109</f>
        <v>NA</v>
      </c>
      <c r="V109" s="670"/>
      <c r="W109" s="605" t="s">
        <v>836</v>
      </c>
      <c r="X109" s="670"/>
      <c r="Y109" s="611" t="s">
        <v>837</v>
      </c>
    </row>
    <row r="110" spans="1:25" s="41" customFormat="1" ht="12" customHeight="1">
      <c r="A110" s="100"/>
      <c r="B110" s="33"/>
      <c r="C110" s="33"/>
      <c r="D110" s="37"/>
      <c r="E110" s="71" t="s">
        <v>544</v>
      </c>
      <c r="F110" s="51"/>
      <c r="G110" s="71"/>
      <c r="H110" s="71" t="s">
        <v>737</v>
      </c>
      <c r="I110" s="72"/>
      <c r="J110" s="37"/>
      <c r="K110" s="71"/>
      <c r="L110" s="71" t="s">
        <v>838</v>
      </c>
      <c r="M110" s="72"/>
      <c r="N110"/>
      <c r="O110" s="101" t="s">
        <v>783</v>
      </c>
      <c r="P110" s="364"/>
      <c r="Q110" s="101" t="s">
        <v>796</v>
      </c>
      <c r="R110"/>
      <c r="S110"/>
      <c r="T110"/>
      <c r="U110" s="135" t="str">
        <f>Q109</f>
        <v>NA</v>
      </c>
      <c r="V110" s="670"/>
      <c r="W110" s="605" t="s">
        <v>839</v>
      </c>
      <c r="X110" s="670"/>
      <c r="Y110" s="611"/>
    </row>
    <row r="111" spans="1:25" s="41" customFormat="1" ht="12" customHeight="1" thickBot="1">
      <c r="A111" s="100"/>
      <c r="B111" s="33"/>
      <c r="C111" s="33"/>
      <c r="D111" s="37"/>
      <c r="E111" s="71"/>
      <c r="F111" s="51"/>
      <c r="G111" s="101"/>
      <c r="H111" s="37"/>
      <c r="I111" s="101"/>
      <c r="J111" s="364"/>
      <c r="K111" s="101"/>
      <c r="L111"/>
      <c r="M111" s="101"/>
      <c r="N111"/>
      <c r="O111" s="101"/>
      <c r="P111" s="364"/>
      <c r="Q111" s="101"/>
      <c r="R111"/>
      <c r="S111"/>
      <c r="T111"/>
      <c r="U111" s="107"/>
      <c r="V111" s="670"/>
      <c r="W111" s="605"/>
      <c r="X111" s="670"/>
      <c r="Y111" s="611"/>
    </row>
    <row r="112" spans="1:25" s="41" customFormat="1" ht="12" customHeight="1" thickBot="1">
      <c r="A112" s="100"/>
      <c r="B112" s="33"/>
      <c r="C112" s="33"/>
      <c r="D112" s="37"/>
      <c r="E112" s="1878" t="s">
        <v>840</v>
      </c>
      <c r="F112" s="1878"/>
      <c r="G112" s="1878"/>
      <c r="H112" s="1878"/>
      <c r="I112" s="1878"/>
      <c r="J112" s="1878"/>
      <c r="K112" s="1878"/>
      <c r="L112" s="1878"/>
      <c r="M112" s="1879"/>
      <c r="N112"/>
      <c r="O112" s="1061">
        <f>IFERROR(VLOOKUP("IMPEDANCE ANALYSIS INFORMATION ; 120% min apparent impedance value for Test 8 (Magnitude):",SDA_TABLE[#All],7,FALSE),"")</f>
        <v>0</v>
      </c>
      <c r="P112" s="364"/>
      <c r="Q112" s="101"/>
      <c r="R112"/>
      <c r="S112"/>
      <c r="T112"/>
      <c r="U112" s="107"/>
      <c r="V112" s="670"/>
      <c r="W112" s="605"/>
      <c r="X112" s="670"/>
      <c r="Y112" s="611"/>
    </row>
    <row r="113" spans="1:25" s="41" customFormat="1" ht="12" customHeight="1">
      <c r="A113" s="100"/>
      <c r="B113" s="33"/>
      <c r="C113" s="33"/>
      <c r="D113" s="37"/>
      <c r="E113" s="1880"/>
      <c r="F113" s="1880"/>
      <c r="G113" s="1880"/>
      <c r="H113" s="1880"/>
      <c r="I113" s="1880"/>
      <c r="J113" s="1880"/>
      <c r="K113" s="1880"/>
      <c r="L113" s="1880"/>
      <c r="M113" s="1881"/>
      <c r="N113" s="1062"/>
      <c r="O113" s="108" t="s">
        <v>841</v>
      </c>
      <c r="P113" s="364"/>
      <c r="Q113" s="101"/>
      <c r="R113"/>
      <c r="S113"/>
      <c r="T113"/>
      <c r="U113" s="107"/>
      <c r="V113" s="670"/>
      <c r="W113" s="605"/>
      <c r="X113" s="670"/>
      <c r="Y113" s="611"/>
    </row>
    <row r="114" spans="1:25" s="41" customFormat="1" ht="12" customHeight="1" thickBot="1">
      <c r="A114" s="100"/>
      <c r="B114" s="33"/>
      <c r="C114" s="33"/>
      <c r="D114" s="37"/>
      <c r="E114" s="1880"/>
      <c r="F114" s="1880"/>
      <c r="G114" s="1880"/>
      <c r="H114" s="1880"/>
      <c r="I114" s="1880"/>
      <c r="J114" s="1880"/>
      <c r="K114" s="1880"/>
      <c r="L114" s="1880"/>
      <c r="M114" s="1881"/>
      <c r="N114" s="110"/>
      <c r="O114" s="1061">
        <f>IFERROR(VLOOKUP("IMPEDANCE ANALYSIS INFORMATION ; 120% max apparent impedance value for Test 8 (Magnitude):",SDA_TABLE[#All],7,FALSE),"")</f>
        <v>0</v>
      </c>
      <c r="P114" s="364"/>
      <c r="Q114" s="101"/>
      <c r="R114"/>
      <c r="S114"/>
      <c r="T114"/>
      <c r="U114" s="107"/>
      <c r="V114" s="670"/>
      <c r="W114" s="605"/>
      <c r="X114" s="670"/>
      <c r="Y114" s="611"/>
    </row>
    <row r="115" spans="1:25" s="41" customFormat="1" ht="12" customHeight="1" thickBot="1">
      <c r="A115" s="100"/>
      <c r="B115" s="33"/>
      <c r="C115" s="33"/>
      <c r="D115" s="37"/>
      <c r="E115" s="1882"/>
      <c r="F115" s="1882"/>
      <c r="G115" s="1882"/>
      <c r="H115" s="1882"/>
      <c r="I115" s="1882"/>
      <c r="J115" s="1882"/>
      <c r="K115" s="1882"/>
      <c r="L115" s="1882"/>
      <c r="M115" s="1883"/>
      <c r="N115"/>
      <c r="O115" s="108" t="s">
        <v>842</v>
      </c>
      <c r="P115" s="364"/>
      <c r="Q115" s="101"/>
      <c r="R115"/>
      <c r="S115"/>
      <c r="T115"/>
      <c r="U115" s="107"/>
      <c r="V115" s="670"/>
      <c r="W115" s="605"/>
      <c r="X115" s="670"/>
      <c r="Y115" s="611"/>
    </row>
    <row r="116" spans="1:25" s="41" customFormat="1" ht="12" customHeight="1">
      <c r="A116" s="100"/>
      <c r="B116" s="33"/>
      <c r="C116" s="33"/>
      <c r="D116" s="37"/>
      <c r="E116" s="71"/>
      <c r="F116" s="51"/>
      <c r="G116" s="101"/>
      <c r="H116" s="37"/>
      <c r="I116" s="101"/>
      <c r="J116" s="364"/>
      <c r="K116" s="101"/>
      <c r="L116"/>
      <c r="M116" s="101"/>
      <c r="N116"/>
      <c r="O116" s="101"/>
      <c r="P116" s="364"/>
      <c r="Q116" s="101"/>
      <c r="R116"/>
      <c r="S116"/>
      <c r="T116"/>
      <c r="U116" s="349" t="s">
        <v>26</v>
      </c>
      <c r="V116" s="670"/>
      <c r="W116" s="605"/>
      <c r="X116" s="670"/>
      <c r="Y116" s="611"/>
    </row>
    <row r="117" spans="1:25" s="41" customFormat="1" ht="12" customHeight="1">
      <c r="A117" s="100"/>
      <c r="B117" s="33"/>
      <c r="C117" s="33"/>
      <c r="D117" s="37"/>
      <c r="E117" s="71"/>
      <c r="F117" s="51"/>
      <c r="G117" s="101"/>
      <c r="H117" s="37"/>
      <c r="I117" s="101"/>
      <c r="J117" s="364"/>
      <c r="K117" s="101"/>
      <c r="L117"/>
      <c r="M117" s="101"/>
      <c r="N117"/>
      <c r="O117" s="101"/>
      <c r="P117" s="364"/>
      <c r="Q117" s="101"/>
      <c r="R117"/>
      <c r="S117" s="323" t="s">
        <v>843</v>
      </c>
      <c r="T117" t="s">
        <v>365</v>
      </c>
      <c r="U117" s="78">
        <f>IF('1) Data Entry'!E16&lt;230,10,8)</f>
        <v>10</v>
      </c>
      <c r="V117" s="670"/>
      <c r="W117" s="605" t="s">
        <v>844</v>
      </c>
      <c r="X117" s="670"/>
      <c r="Y117" s="611"/>
    </row>
    <row r="118" spans="1:25" s="41" customFormat="1" ht="12" customHeight="1">
      <c r="A118" s="1900" t="s">
        <v>845</v>
      </c>
      <c r="B118" s="1738"/>
      <c r="C118" s="1738"/>
      <c r="D118" s="1738"/>
      <c r="E118" s="1738"/>
      <c r="F118" s="1738"/>
      <c r="G118" s="1738"/>
      <c r="H118" s="1738"/>
      <c r="I118" s="1738"/>
      <c r="J118" s="1738"/>
      <c r="K118" s="1738"/>
      <c r="L118" s="1738"/>
      <c r="M118" s="1738"/>
      <c r="N118" s="1738"/>
      <c r="O118" s="1738"/>
      <c r="P118"/>
      <c r="Q118" s="71"/>
      <c r="R118"/>
      <c r="S118" s="323" t="s">
        <v>846</v>
      </c>
      <c r="T118" t="s">
        <v>365</v>
      </c>
      <c r="U118" s="78">
        <f>U117</f>
        <v>10</v>
      </c>
      <c r="V118" s="670"/>
      <c r="W118" s="605" t="s">
        <v>847</v>
      </c>
      <c r="X118" s="670"/>
      <c r="Y118" s="611"/>
    </row>
    <row r="119" spans="1:25" s="41" customFormat="1" ht="12" customHeight="1">
      <c r="A119" s="1396"/>
      <c r="B119" s="1073"/>
      <c r="C119" s="1073"/>
      <c r="D119" s="1073"/>
      <c r="E119" s="1073"/>
      <c r="F119" s="1073"/>
      <c r="G119" s="1073"/>
      <c r="H119" s="1073"/>
      <c r="I119" s="1073"/>
      <c r="J119" s="1073"/>
      <c r="K119" s="1073"/>
      <c r="L119" s="1073"/>
      <c r="M119" s="1073"/>
      <c r="N119" s="1073"/>
      <c r="O119" s="1073"/>
      <c r="P119"/>
      <c r="Q119" s="71"/>
      <c r="R119"/>
      <c r="S119"/>
      <c r="T119"/>
      <c r="U119" s="71"/>
      <c r="V119" s="670"/>
      <c r="W119" s="605"/>
      <c r="X119" s="670"/>
      <c r="Y119" s="611"/>
    </row>
    <row r="120" spans="1:25" s="41" customFormat="1" ht="12" customHeight="1">
      <c r="A120" s="102"/>
      <c r="B120"/>
      <c r="C120" s="33"/>
      <c r="D120" s="919" t="s">
        <v>365</v>
      </c>
      <c r="E120" s="927">
        <v>2</v>
      </c>
      <c r="F120" s="918" t="s">
        <v>848</v>
      </c>
      <c r="G120" s="926">
        <f>VLOOKUP(E75,'1) Data Entry'!AA385:AE392,4,FALSE)</f>
        <v>0</v>
      </c>
      <c r="H120" s="919" t="s">
        <v>461</v>
      </c>
      <c r="I120" s="926">
        <f>VLOOKUP(E75,'1) Data Entry'!AA385:AE392,5,FALSE)</f>
        <v>0</v>
      </c>
      <c r="J120" s="918" t="s">
        <v>849</v>
      </c>
      <c r="K120" s="926" t="e">
        <f>VLOOKUP(E75,'1) Data Entry'!AA385:AC392,2,FALSE)</f>
        <v>#VALUE!</v>
      </c>
      <c r="L120" s="919" t="s">
        <v>461</v>
      </c>
      <c r="M120" s="926">
        <f>VLOOKUP(E75,'1) Data Entry'!AA385:AC392,3,FALSE)</f>
        <v>0</v>
      </c>
      <c r="N120" s="919" t="s">
        <v>850</v>
      </c>
      <c r="O120" s="925">
        <f ca="1">$E$6</f>
        <v>0</v>
      </c>
      <c r="P120" s="920" t="s">
        <v>349</v>
      </c>
      <c r="Q120" s="921" t="e">
        <f ca="1">$E$11</f>
        <v>#DIV/0!</v>
      </c>
      <c r="R120"/>
      <c r="S120" s="103" t="s">
        <v>824</v>
      </c>
      <c r="T120" s="51" t="s">
        <v>365</v>
      </c>
      <c r="U120" s="133" t="e">
        <f ca="1">E120*Q120*O120*(SQRT(((G120+K120))^2+(((I120+M120))^2)))</f>
        <v>#DIV/0!</v>
      </c>
      <c r="V120" s="670"/>
      <c r="W120" s="605" t="s">
        <v>851</v>
      </c>
      <c r="X120" s="670"/>
      <c r="Y120" s="611" t="s">
        <v>837</v>
      </c>
    </row>
    <row r="121" spans="1:25" s="41" customFormat="1" ht="12" customHeight="1">
      <c r="A121" s="100"/>
      <c r="B121" s="33"/>
      <c r="C121" s="33"/>
      <c r="D121" s="918"/>
      <c r="E121" s="922" t="s">
        <v>544</v>
      </c>
      <c r="F121" s="735"/>
      <c r="G121" s="924"/>
      <c r="H121" s="922" t="s">
        <v>815</v>
      </c>
      <c r="I121" s="924"/>
      <c r="J121" s="916"/>
      <c r="K121" s="922"/>
      <c r="L121" s="922" t="s">
        <v>852</v>
      </c>
      <c r="M121" s="922"/>
      <c r="N121" s="735"/>
      <c r="O121" s="922" t="s">
        <v>471</v>
      </c>
      <c r="P121" s="917"/>
      <c r="Q121" s="923" t="s">
        <v>370</v>
      </c>
      <c r="R121"/>
      <c r="S121"/>
      <c r="T121"/>
      <c r="U121" s="135">
        <f>IF(E75="NA","NA",VLOOKUP(E75,'5) Infeed'!P42:T50,5,FALSE))</f>
        <v>0</v>
      </c>
      <c r="V121" s="670"/>
      <c r="W121" s="605" t="s">
        <v>853</v>
      </c>
      <c r="X121" s="670"/>
      <c r="Y121" s="611"/>
    </row>
    <row r="122" spans="1:25" s="41" customFormat="1" ht="12" customHeight="1" thickBot="1">
      <c r="A122" s="100"/>
      <c r="B122" s="33"/>
      <c r="C122" s="33"/>
      <c r="D122" s="918"/>
      <c r="E122" s="922"/>
      <c r="F122" s="735"/>
      <c r="G122" s="924"/>
      <c r="H122" s="922"/>
      <c r="I122" s="924"/>
      <c r="J122" s="916"/>
      <c r="K122" s="922"/>
      <c r="L122" s="922"/>
      <c r="M122" s="922"/>
      <c r="N122" s="735"/>
      <c r="O122" s="922"/>
      <c r="P122" s="917"/>
      <c r="Q122" s="923"/>
      <c r="R122"/>
      <c r="S122"/>
      <c r="T122"/>
      <c r="U122" s="123"/>
      <c r="V122" s="670"/>
      <c r="W122" s="605"/>
      <c r="X122" s="670"/>
      <c r="Y122" s="611"/>
    </row>
    <row r="123" spans="1:25" s="41" customFormat="1" ht="12" customHeight="1" thickBot="1">
      <c r="A123" s="100"/>
      <c r="B123" s="33"/>
      <c r="C123" s="33"/>
      <c r="D123" s="918"/>
      <c r="E123" s="1878" t="s">
        <v>854</v>
      </c>
      <c r="F123" s="1878"/>
      <c r="G123" s="1878"/>
      <c r="H123" s="1878"/>
      <c r="I123" s="1878"/>
      <c r="J123" s="1878"/>
      <c r="K123" s="1878"/>
      <c r="L123" s="1878"/>
      <c r="M123" s="1879"/>
      <c r="N123"/>
      <c r="O123" s="1061">
        <f>IFERROR(VLOOKUP("IMPEDANCE ANALYSIS INFORMATION ; 200% min apparent impedance value for Test 9 (Magnitude):",SDA_TABLE[#All],7,FALSE),"")</f>
        <v>0</v>
      </c>
      <c r="P123" s="917"/>
      <c r="Q123" s="923"/>
      <c r="R123"/>
      <c r="S123"/>
      <c r="T123"/>
      <c r="U123" s="123"/>
      <c r="V123" s="670"/>
      <c r="W123" s="605"/>
      <c r="X123" s="670"/>
      <c r="Y123" s="611"/>
    </row>
    <row r="124" spans="1:25" s="41" customFormat="1" ht="12" customHeight="1">
      <c r="A124" s="100"/>
      <c r="B124" s="33"/>
      <c r="C124" s="33"/>
      <c r="D124" s="918"/>
      <c r="E124" s="1880"/>
      <c r="F124" s="1880"/>
      <c r="G124" s="1880"/>
      <c r="H124" s="1880"/>
      <c r="I124" s="1880"/>
      <c r="J124" s="1880"/>
      <c r="K124" s="1880"/>
      <c r="L124" s="1880"/>
      <c r="M124" s="1881"/>
      <c r="N124" s="1062"/>
      <c r="O124" s="108" t="s">
        <v>855</v>
      </c>
      <c r="P124" s="917"/>
      <c r="Q124" s="923"/>
      <c r="R124"/>
      <c r="S124"/>
      <c r="T124"/>
      <c r="U124" s="123"/>
      <c r="V124" s="670"/>
      <c r="W124" s="605"/>
      <c r="X124" s="670"/>
      <c r="Y124" s="611"/>
    </row>
    <row r="125" spans="1:25" s="41" customFormat="1" ht="12" customHeight="1" thickBot="1">
      <c r="A125" s="100"/>
      <c r="B125" s="33"/>
      <c r="C125" s="33"/>
      <c r="D125" s="918"/>
      <c r="E125" s="1880"/>
      <c r="F125" s="1880"/>
      <c r="G125" s="1880"/>
      <c r="H125" s="1880"/>
      <c r="I125" s="1880"/>
      <c r="J125" s="1880"/>
      <c r="K125" s="1880"/>
      <c r="L125" s="1880"/>
      <c r="M125" s="1881"/>
      <c r="N125" s="110"/>
      <c r="O125" s="1061">
        <f>IFERROR(VLOOKUP("IMPEDANCE ANALYSIS INFORMATION ; 200% max apparent impedance value for Test 9 (Magnitude):",SDA_TABLE[#All],7,FALSE),"")</f>
        <v>0</v>
      </c>
      <c r="P125" s="917"/>
      <c r="Q125" s="923"/>
      <c r="R125"/>
      <c r="S125"/>
      <c r="T125"/>
      <c r="U125" s="123"/>
      <c r="V125" s="670"/>
      <c r="W125" s="605"/>
      <c r="X125" s="670"/>
      <c r="Y125" s="611"/>
    </row>
    <row r="126" spans="1:25" s="41" customFormat="1" ht="12" customHeight="1" thickBot="1">
      <c r="A126" s="100"/>
      <c r="B126" s="33"/>
      <c r="C126" s="33"/>
      <c r="D126" s="918"/>
      <c r="E126" s="1882"/>
      <c r="F126" s="1882"/>
      <c r="G126" s="1882"/>
      <c r="H126" s="1882"/>
      <c r="I126" s="1882"/>
      <c r="J126" s="1882"/>
      <c r="K126" s="1882"/>
      <c r="L126" s="1882"/>
      <c r="M126" s="1883"/>
      <c r="N126"/>
      <c r="O126" s="108" t="s">
        <v>831</v>
      </c>
      <c r="P126" s="917"/>
      <c r="Q126" s="923"/>
      <c r="R126"/>
      <c r="S126"/>
      <c r="T126"/>
      <c r="U126" s="123"/>
      <c r="V126" s="670"/>
      <c r="W126" s="605"/>
      <c r="X126" s="670"/>
      <c r="Y126" s="611"/>
    </row>
    <row r="127" spans="1:25" s="41" customFormat="1" ht="12" customHeight="1">
      <c r="A127" s="100"/>
      <c r="B127" s="33"/>
      <c r="C127" s="33"/>
      <c r="D127" s="918"/>
      <c r="E127" s="922"/>
      <c r="F127" s="735"/>
      <c r="G127" s="924"/>
      <c r="H127" s="922"/>
      <c r="I127" s="924"/>
      <c r="J127" s="916"/>
      <c r="K127" s="922"/>
      <c r="L127" s="922"/>
      <c r="M127" s="922"/>
      <c r="N127" s="735"/>
      <c r="O127" s="922"/>
      <c r="P127" s="917"/>
      <c r="Q127" s="923"/>
      <c r="R127"/>
      <c r="S127"/>
      <c r="T127"/>
      <c r="U127" s="123"/>
      <c r="V127" s="670"/>
      <c r="W127" s="605"/>
      <c r="X127" s="670"/>
      <c r="Y127" s="611"/>
    </row>
    <row r="128" spans="1:25" s="41" customFormat="1" ht="12" customHeight="1">
      <c r="A128" s="98" t="s">
        <v>856</v>
      </c>
      <c r="B128" s="138"/>
      <c r="C128" s="33"/>
      <c r="D128" s="37"/>
      <c r="E128" s="53"/>
      <c r="F128" s="139"/>
      <c r="G128" s="36"/>
      <c r="H128" s="144"/>
      <c r="I128"/>
      <c r="J128" s="140"/>
      <c r="K128" s="38"/>
      <c r="L128"/>
      <c r="M128" s="141"/>
      <c r="N128" s="51"/>
      <c r="O128"/>
      <c r="P128"/>
      <c r="Q128" s="364"/>
      <c r="R128"/>
      <c r="S128" s="103"/>
      <c r="T128" s="103"/>
      <c r="U128" s="1158"/>
      <c r="V128"/>
      <c r="W128" s="605"/>
      <c r="X128"/>
      <c r="Y128" s="611"/>
    </row>
    <row r="129" spans="1:32" s="41" customFormat="1" ht="12" customHeight="1">
      <c r="A129" s="130"/>
      <c r="B129" s="361" t="s">
        <v>365</v>
      </c>
      <c r="C129" s="1254">
        <f>'1) Data Entry'!E216</f>
        <v>0</v>
      </c>
      <c r="D129" s="37" t="s">
        <v>769</v>
      </c>
      <c r="E129" s="1255" t="e">
        <f>'1) Data Entry'!AJ334</f>
        <v>#N/A</v>
      </c>
      <c r="F129" s="52" t="s">
        <v>461</v>
      </c>
      <c r="G129" s="1255" t="e">
        <f>'1) Data Entry'!AK334</f>
        <v>#N/A</v>
      </c>
      <c r="H129" s="37" t="s">
        <v>857</v>
      </c>
      <c r="I129" s="1255" t="e">
        <f>'1) Data Entry'!AL334</f>
        <v>#N/A</v>
      </c>
      <c r="J129" s="52" t="s">
        <v>461</v>
      </c>
      <c r="K129" s="1255" t="e">
        <f>'1) Data Entry'!AM334</f>
        <v>#N/A</v>
      </c>
      <c r="L129" s="759" t="s">
        <v>858</v>
      </c>
      <c r="M129" s="132">
        <f ca="1">$E$6</f>
        <v>0</v>
      </c>
      <c r="N129" s="392" t="s">
        <v>365</v>
      </c>
      <c r="O129"/>
      <c r="P129"/>
      <c r="Q129" s="68" t="e">
        <f ca="1">SQRT((C129*E129+I129)^2+(C129*G129+K129)^2)*M129</f>
        <v>#N/A</v>
      </c>
      <c r="R129" s="51" t="s">
        <v>536</v>
      </c>
      <c r="S129" s="69" t="e">
        <f ca="1">$E$11</f>
        <v>#DIV/0!</v>
      </c>
      <c r="T129" s="142" t="s">
        <v>365</v>
      </c>
      <c r="U129" s="105" t="e">
        <f ca="1">Q129*S129</f>
        <v>#N/A</v>
      </c>
      <c r="V129"/>
      <c r="W129" s="605" t="s">
        <v>859</v>
      </c>
      <c r="X129"/>
      <c r="Y129" s="611"/>
      <c r="Z129" s="670"/>
      <c r="AA129" s="670"/>
      <c r="AB129" s="670"/>
      <c r="AC129" s="670"/>
      <c r="AD129" s="670"/>
      <c r="AE129" s="670"/>
      <c r="AF129" s="670"/>
    </row>
    <row r="130" spans="1:32" s="41" customFormat="1" ht="12" customHeight="1">
      <c r="A130"/>
      <c r="B130" s="76"/>
      <c r="C130" s="143" t="s">
        <v>860</v>
      </c>
      <c r="D130" s="37"/>
      <c r="E130" s="71"/>
      <c r="F130" s="71" t="s">
        <v>861</v>
      </c>
      <c r="G130" s="101"/>
      <c r="H130" s="37"/>
      <c r="I130" s="101"/>
      <c r="J130" s="71" t="s">
        <v>862</v>
      </c>
      <c r="K130" s="72"/>
      <c r="L130" s="144"/>
      <c r="M130" s="71" t="s">
        <v>471</v>
      </c>
      <c r="N130"/>
      <c r="O130"/>
      <c r="P130"/>
      <c r="Q130" s="73" t="s">
        <v>863</v>
      </c>
      <c r="R130"/>
      <c r="S130" s="73" t="s">
        <v>370</v>
      </c>
      <c r="T130" s="137"/>
      <c r="U130" s="106" t="e">
        <f>DEGREES(ATAN((G129+K129)/(E129+I129)))</f>
        <v>#N/A</v>
      </c>
      <c r="V130"/>
      <c r="W130" s="605" t="s">
        <v>864</v>
      </c>
      <c r="X130"/>
      <c r="Y130" s="611"/>
      <c r="Z130" s="670"/>
      <c r="AA130" s="670"/>
      <c r="AB130" s="670"/>
      <c r="AC130" s="670"/>
      <c r="AD130" s="670"/>
      <c r="AE130" s="670"/>
      <c r="AF130" s="670"/>
    </row>
    <row r="131" spans="1:32" s="41" customFormat="1" ht="12" customHeight="1">
      <c r="A131"/>
      <c r="B131" s="76"/>
      <c r="C131" s="1519" t="e">
        <f>'1) Data Entry'!AI334&amp;", located at "&amp;'1) Data Entry'!AN334&amp;", is the distribution transformer with the minimum impedance as seen by the relay (line impedance plus "&amp;100*'1) Data Entry'!E216&amp;"% of transformer impedance)"</f>
        <v>#N/A</v>
      </c>
      <c r="D131" s="1519"/>
      <c r="E131" s="1519"/>
      <c r="F131" s="1519"/>
      <c r="G131" s="1519"/>
      <c r="H131" s="1519"/>
      <c r="I131" s="1519"/>
      <c r="J131" s="1519"/>
      <c r="K131" s="1519"/>
      <c r="L131" s="1519"/>
      <c r="M131" s="1519"/>
      <c r="N131"/>
      <c r="O131"/>
      <c r="P131"/>
      <c r="Q131" s="1908" t="e">
        <f ca="1">IF(U129&lt;=S140,"Zone 5 Extended Pilot is reaching in to the Tapped Distribution Transformers, please decrease the Z5P and Z5MG reach","Extended pilot reach is good and is not reaching into distribution tranformers, confirm it with ASPEN.")</f>
        <v>#N/A</v>
      </c>
      <c r="R131" s="1908"/>
      <c r="S131" s="1908"/>
      <c r="T131" s="1908"/>
      <c r="U131" s="1908"/>
      <c r="V131" s="1908"/>
      <c r="W131" s="1908"/>
      <c r="X131" s="1908"/>
      <c r="Y131" s="1908"/>
      <c r="Z131" s="1908"/>
      <c r="AA131" s="670"/>
      <c r="AB131" s="670"/>
      <c r="AC131" s="670"/>
      <c r="AD131" s="670"/>
      <c r="AE131" s="670"/>
      <c r="AF131" s="670"/>
    </row>
    <row r="132" spans="1:32" s="41" customFormat="1" ht="12" customHeight="1">
      <c r="A132"/>
      <c r="B132" s="138"/>
      <c r="C132" s="1519"/>
      <c r="D132" s="1519"/>
      <c r="E132" s="1519"/>
      <c r="F132" s="1519"/>
      <c r="G132" s="1519"/>
      <c r="H132" s="1519"/>
      <c r="I132" s="1519"/>
      <c r="J132" s="1519"/>
      <c r="K132" s="1519"/>
      <c r="L132" s="1519"/>
      <c r="M132" s="1519"/>
      <c r="N132" s="51"/>
      <c r="O132"/>
      <c r="P132"/>
      <c r="Q132" s="1908"/>
      <c r="R132" s="1908"/>
      <c r="S132" s="1908"/>
      <c r="T132" s="1908"/>
      <c r="U132" s="1908"/>
      <c r="V132" s="1908"/>
      <c r="W132" s="1908"/>
      <c r="X132" s="1908"/>
      <c r="Y132" s="1908"/>
      <c r="Z132" s="1908"/>
      <c r="AA132" s="670"/>
      <c r="AB132" s="670"/>
      <c r="AC132" s="670"/>
      <c r="AD132" s="670"/>
      <c r="AE132" s="670"/>
      <c r="AF132" s="670"/>
    </row>
    <row r="133" spans="1:32" s="41" customFormat="1" ht="12" customHeight="1" thickBot="1">
      <c r="A133" s="108"/>
      <c r="B133" s="33"/>
      <c r="C133" s="33"/>
      <c r="D133" s="37"/>
      <c r="E133" s="124"/>
      <c r="F133" s="51"/>
      <c r="G133" s="1073"/>
      <c r="H133" s="1073"/>
      <c r="I133" s="1073"/>
      <c r="J133" s="364"/>
      <c r="K133"/>
      <c r="L133"/>
      <c r="M133" s="670"/>
      <c r="N133" s="1073"/>
      <c r="O133" s="1738" t="s">
        <v>865</v>
      </c>
      <c r="P133" s="1738"/>
      <c r="Q133" s="1738"/>
      <c r="R133" s="1738"/>
      <c r="S133" s="1738"/>
      <c r="T133" s="1738"/>
      <c r="U133" s="1738"/>
      <c r="V133" s="670"/>
      <c r="W133" s="605"/>
      <c r="X133" s="670"/>
      <c r="Y133" s="611"/>
      <c r="Z133" s="670"/>
      <c r="AA133" s="670"/>
      <c r="AB133" s="670"/>
      <c r="AC133" s="670"/>
      <c r="AD133" s="670"/>
      <c r="AE133" s="670"/>
      <c r="AF133" s="670"/>
    </row>
    <row r="134" spans="1:32" s="41" customFormat="1" ht="12" customHeight="1" thickBot="1">
      <c r="A134" s="108"/>
      <c r="B134" s="33"/>
      <c r="C134" s="33"/>
      <c r="D134" s="37"/>
      <c r="E134" s="1878" t="s">
        <v>866</v>
      </c>
      <c r="F134" s="1878"/>
      <c r="G134" s="1878"/>
      <c r="H134" s="1878"/>
      <c r="I134" s="1878"/>
      <c r="J134" s="1878"/>
      <c r="K134" s="1878"/>
      <c r="L134" s="1878"/>
      <c r="M134" s="1879"/>
      <c r="N134"/>
      <c r="O134" s="1061">
        <f>IFERROR(VLOOKUP("IMPEDANCE ANALYSIS INFORMATION ; min apparent impedance value for Test 10 (Magnitude):",SDA_TABLE[#All],7,FALSE),"")</f>
        <v>0</v>
      </c>
      <c r="P134" s="1073"/>
      <c r="Q134" s="1073"/>
      <c r="R134" s="1073"/>
      <c r="S134" s="1073"/>
      <c r="T134" s="1073"/>
      <c r="U134" s="1073"/>
      <c r="V134" s="670"/>
      <c r="W134" s="605"/>
      <c r="X134" s="670"/>
      <c r="Y134" s="611"/>
      <c r="Z134" s="670"/>
      <c r="AA134" s="670"/>
      <c r="AB134" s="670"/>
      <c r="AC134" s="670"/>
      <c r="AD134" s="670"/>
      <c r="AE134" s="670"/>
      <c r="AF134" s="670"/>
    </row>
    <row r="135" spans="1:32" s="41" customFormat="1" ht="12" customHeight="1">
      <c r="A135" s="108"/>
      <c r="B135" s="33"/>
      <c r="C135" s="33"/>
      <c r="D135" s="37"/>
      <c r="E135" s="1880"/>
      <c r="F135" s="1880"/>
      <c r="G135" s="1880"/>
      <c r="H135" s="1880"/>
      <c r="I135" s="1880"/>
      <c r="J135" s="1880"/>
      <c r="K135" s="1880"/>
      <c r="L135" s="1880"/>
      <c r="M135" s="1881"/>
      <c r="N135" s="1062"/>
      <c r="O135" s="108" t="s">
        <v>855</v>
      </c>
      <c r="P135" s="1073"/>
      <c r="Q135" s="1073"/>
      <c r="R135" s="1073"/>
      <c r="S135" s="1073"/>
      <c r="T135" s="1073"/>
      <c r="U135" s="1073"/>
      <c r="V135" s="670"/>
      <c r="W135" s="605"/>
      <c r="X135" s="670"/>
      <c r="Y135" s="611"/>
      <c r="Z135" s="670"/>
      <c r="AA135" s="670"/>
      <c r="AB135" s="670"/>
      <c r="AC135" s="670"/>
      <c r="AD135" s="670"/>
      <c r="AE135" s="670"/>
      <c r="AF135" s="670"/>
    </row>
    <row r="136" spans="1:32" s="41" customFormat="1" ht="12" customHeight="1" thickBot="1">
      <c r="A136" s="108"/>
      <c r="B136" s="33"/>
      <c r="C136" s="33"/>
      <c r="D136" s="37"/>
      <c r="E136" s="1880"/>
      <c r="F136" s="1880"/>
      <c r="G136" s="1880"/>
      <c r="H136" s="1880"/>
      <c r="I136" s="1880"/>
      <c r="J136" s="1880"/>
      <c r="K136" s="1880"/>
      <c r="L136" s="1880"/>
      <c r="M136" s="1881"/>
      <c r="N136" s="110"/>
      <c r="O136" s="1061">
        <f>IFERROR(VLOOKUP("IMPEDANCE ANALYSIS INFORMATION ; max apparent impedance value for Test 10 (Magnitude):",SDA_TABLE[#All],7,FALSE),"")</f>
        <v>0</v>
      </c>
      <c r="P136" s="1073"/>
      <c r="Q136" s="1073"/>
      <c r="R136" s="1073"/>
      <c r="S136" s="1073"/>
      <c r="T136" s="1073"/>
      <c r="U136" s="1073"/>
      <c r="V136" s="670"/>
      <c r="W136" s="605"/>
      <c r="X136" s="670"/>
      <c r="Y136" s="611"/>
      <c r="Z136" s="670"/>
      <c r="AA136" s="670"/>
      <c r="AB136" s="670"/>
      <c r="AC136" s="670"/>
      <c r="AD136" s="670"/>
      <c r="AE136" s="670"/>
      <c r="AF136" s="670"/>
    </row>
    <row r="137" spans="1:32" s="41" customFormat="1" ht="15.75" customHeight="1" thickBot="1">
      <c r="A137" s="108"/>
      <c r="B137" s="33"/>
      <c r="C137" s="33"/>
      <c r="D137" s="37"/>
      <c r="E137" s="1882"/>
      <c r="F137" s="1882"/>
      <c r="G137" s="1882"/>
      <c r="H137" s="1882"/>
      <c r="I137" s="1882"/>
      <c r="J137" s="1882"/>
      <c r="K137" s="1882"/>
      <c r="L137" s="1882"/>
      <c r="M137" s="1883"/>
      <c r="N137"/>
      <c r="O137" s="108" t="s">
        <v>831</v>
      </c>
      <c r="P137" s="1073"/>
      <c r="Q137" s="1073"/>
      <c r="R137" s="1073"/>
      <c r="S137" s="1073"/>
      <c r="T137" s="1073"/>
      <c r="U137" s="1073"/>
      <c r="V137" s="670"/>
      <c r="W137" s="605"/>
      <c r="X137" s="670"/>
      <c r="Y137" s="611"/>
      <c r="Z137" s="670"/>
      <c r="AA137" s="670"/>
      <c r="AB137" s="670"/>
      <c r="AC137" s="670"/>
      <c r="AD137" s="670"/>
      <c r="AE137" s="670"/>
      <c r="AF137" s="670"/>
    </row>
    <row r="138" spans="1:32" s="41" customFormat="1" ht="12" customHeight="1">
      <c r="A138" s="108"/>
      <c r="B138" s="33"/>
      <c r="C138" s="33"/>
      <c r="D138" s="37"/>
      <c r="E138" s="124"/>
      <c r="F138" s="51"/>
      <c r="G138" s="1073"/>
      <c r="H138" s="1073"/>
      <c r="I138" s="1073"/>
      <c r="J138" s="364"/>
      <c r="K138"/>
      <c r="L138"/>
      <c r="M138" s="670"/>
      <c r="N138" s="1073"/>
      <c r="O138" s="1073"/>
      <c r="P138" s="1073"/>
      <c r="Q138" s="1073"/>
      <c r="R138" s="1073"/>
      <c r="S138" s="1073"/>
      <c r="T138" s="1073"/>
      <c r="U138" s="1073"/>
      <c r="V138" s="670"/>
      <c r="W138" s="605"/>
      <c r="X138" s="670"/>
      <c r="Y138" s="611"/>
      <c r="Z138" s="670"/>
      <c r="AA138" s="670"/>
      <c r="AB138" s="670"/>
      <c r="AC138" s="670"/>
      <c r="AD138" s="670"/>
      <c r="AE138" s="670"/>
      <c r="AF138" s="670"/>
    </row>
    <row r="139" spans="1:32" s="41" customFormat="1" ht="12" customHeight="1">
      <c r="A139" s="1886" t="s">
        <v>759</v>
      </c>
      <c r="B139" s="1887"/>
      <c r="C139" s="1887"/>
      <c r="D139" s="1887"/>
      <c r="E139" s="1887"/>
      <c r="F139" s="1887"/>
      <c r="G139" s="1887"/>
      <c r="H139" s="1887"/>
      <c r="I139" s="1888"/>
      <c r="J139" s="1889"/>
      <c r="K139" s="670"/>
      <c r="L139" s="670"/>
      <c r="M139" s="670"/>
      <c r="N139" s="670"/>
      <c r="O139" s="670"/>
      <c r="P139" s="1024"/>
      <c r="Q139" s="670"/>
      <c r="R139" s="670"/>
      <c r="S139" s="116" t="s">
        <v>26</v>
      </c>
      <c r="T139" s="77"/>
      <c r="U139" s="1129"/>
      <c r="V139" s="670"/>
      <c r="W139" s="605"/>
      <c r="X139" s="670"/>
      <c r="Y139" s="611"/>
      <c r="Z139" s="670"/>
      <c r="AA139" s="670"/>
      <c r="AB139" s="670"/>
      <c r="AC139" s="670"/>
      <c r="AD139" s="670"/>
      <c r="AE139" s="670"/>
      <c r="AF139" s="670"/>
    </row>
    <row r="140" spans="1:32" s="41" customFormat="1" ht="12" customHeight="1">
      <c r="A140" s="1890"/>
      <c r="B140" s="1891"/>
      <c r="C140" s="1891"/>
      <c r="D140" s="1891"/>
      <c r="E140" s="1891"/>
      <c r="F140" s="1891"/>
      <c r="G140" s="1891"/>
      <c r="H140" s="1891"/>
      <c r="I140" s="1892"/>
      <c r="J140" s="1893"/>
      <c r="K140" s="119"/>
      <c r="L140" s="120"/>
      <c r="M140" s="323" t="s">
        <v>867</v>
      </c>
      <c r="N140" s="47" t="s">
        <v>365</v>
      </c>
      <c r="O140" s="105" t="e">
        <f ca="1">MAX(U97,IF(ISERROR(U120),0,U120),IF(ISERROR(U109),0,U109))</f>
        <v>#DIV/0!</v>
      </c>
      <c r="P140" s="392" t="s">
        <v>452</v>
      </c>
      <c r="Q140" s="106" t="e">
        <f ca="1">IF(O140=U97,U98,IF(O140=U109,U110,U121))</f>
        <v>#DIV/0!</v>
      </c>
      <c r="R140" s="759" t="s">
        <v>378</v>
      </c>
      <c r="S140" s="78" t="e">
        <f ca="1">IF(O141="",ROUND(O140,2),O141)</f>
        <v>#DIV/0!</v>
      </c>
      <c r="T140" s="392" t="s">
        <v>452</v>
      </c>
      <c r="U140" s="106" t="e">
        <f ca="1">IF(Q141="",Q140,Q141)</f>
        <v>#DIV/0!</v>
      </c>
      <c r="V140" s="670"/>
      <c r="W140" s="605" t="s">
        <v>868</v>
      </c>
      <c r="X140" s="670"/>
      <c r="Y140" s="611"/>
      <c r="Z140" s="670"/>
      <c r="AA140" s="670"/>
      <c r="AB140" s="670"/>
      <c r="AC140" s="670"/>
      <c r="AD140" s="670"/>
      <c r="AE140" s="670"/>
      <c r="AF140" s="670"/>
    </row>
    <row r="141" spans="1:32" s="41" customFormat="1" ht="12" customHeight="1">
      <c r="A141" s="1894"/>
      <c r="B141" s="1895"/>
      <c r="C141" s="1895"/>
      <c r="D141" s="1895"/>
      <c r="E141" s="1895"/>
      <c r="F141" s="1895"/>
      <c r="G141" s="1895"/>
      <c r="H141" s="1895"/>
      <c r="I141" s="1896"/>
      <c r="J141" s="1897"/>
      <c r="K141" s="670"/>
      <c r="L141" s="670"/>
      <c r="M141" s="670" t="s">
        <v>573</v>
      </c>
      <c r="N141" s="1024" t="s">
        <v>378</v>
      </c>
      <c r="O141" s="121"/>
      <c r="P141" s="670"/>
      <c r="Q141" s="1251"/>
      <c r="R141" s="670"/>
      <c r="S141" s="670"/>
      <c r="T141" s="122"/>
      <c r="U141" s="123"/>
      <c r="V141" s="670"/>
      <c r="W141" s="605"/>
      <c r="X141" s="670"/>
      <c r="Y141" s="611"/>
      <c r="Z141" s="670"/>
      <c r="AA141" s="670"/>
      <c r="AB141" s="670"/>
      <c r="AC141" s="670"/>
      <c r="AD141" s="670"/>
      <c r="AE141" s="670"/>
      <c r="AF141" s="670"/>
    </row>
    <row r="142" spans="1:32" ht="12" customHeight="1">
      <c r="A142" s="61"/>
      <c r="B142" s="79"/>
      <c r="C142" s="79"/>
      <c r="D142" s="58"/>
      <c r="E142" s="59"/>
      <c r="F142" s="60"/>
      <c r="G142" s="125"/>
      <c r="H142" s="126"/>
      <c r="I142" s="61"/>
      <c r="J142" s="1229"/>
      <c r="K142" s="62"/>
      <c r="L142" s="61"/>
      <c r="M142" s="61"/>
      <c r="N142" s="61"/>
      <c r="O142" s="61"/>
      <c r="P142" s="61"/>
      <c r="Q142" s="61"/>
      <c r="R142" s="61"/>
      <c r="S142" s="61"/>
      <c r="T142" s="61"/>
      <c r="U142" s="62"/>
    </row>
    <row r="143" spans="1:32" ht="12" customHeight="1">
      <c r="A143" s="934" t="s">
        <v>869</v>
      </c>
      <c r="B143" s="936"/>
      <c r="C143" s="936"/>
      <c r="D143" s="937"/>
      <c r="E143" s="127" t="s">
        <v>870</v>
      </c>
      <c r="F143" s="86"/>
      <c r="G143" s="128" t="s">
        <v>871</v>
      </c>
      <c r="H143" s="127"/>
      <c r="I143" s="64"/>
      <c r="J143" s="1232"/>
      <c r="K143" s="89"/>
      <c r="L143" s="64"/>
      <c r="M143" s="64"/>
      <c r="N143" s="64"/>
      <c r="O143" s="64"/>
      <c r="P143" s="64"/>
      <c r="Q143" s="64"/>
      <c r="R143" s="64"/>
      <c r="S143" s="64"/>
      <c r="T143" s="64"/>
    </row>
    <row r="144" spans="1:32" ht="12" customHeight="1">
      <c r="A144" s="65"/>
      <c r="B144" s="84"/>
      <c r="C144" s="84"/>
      <c r="D144" s="85"/>
      <c r="E144" s="127"/>
      <c r="F144" s="86"/>
      <c r="G144" s="128"/>
      <c r="H144" s="127"/>
      <c r="I144" s="64"/>
      <c r="J144" s="1232"/>
      <c r="K144" s="89"/>
      <c r="L144" s="64"/>
      <c r="M144" s="64"/>
      <c r="N144" s="64"/>
      <c r="O144" s="64"/>
      <c r="P144" s="64"/>
      <c r="Q144" s="64"/>
      <c r="R144" s="64"/>
      <c r="S144" s="64"/>
      <c r="T144" s="64"/>
    </row>
    <row r="145" spans="1:37" ht="12" customHeight="1">
      <c r="A145" s="65"/>
      <c r="B145" s="84"/>
      <c r="C145" s="901" t="s">
        <v>872</v>
      </c>
      <c r="D145" s="902" t="s">
        <v>378</v>
      </c>
      <c r="E145" s="1923" t="str">
        <f>IF(ISERROR(VLOOKUP("Long",'5) Infeed'!$O$15:$P$27,2,FALSE)),"NA",VLOOKUP("Long",'5) Infeed'!$O$15:$P$27,2,FALSE))</f>
        <v/>
      </c>
      <c r="F145" s="1923"/>
      <c r="G145" s="1923"/>
      <c r="H145" s="1923"/>
      <c r="I145" s="1923"/>
      <c r="J145" s="1232"/>
      <c r="K145" s="89"/>
      <c r="L145" s="64"/>
      <c r="M145" s="64"/>
      <c r="N145" s="64"/>
      <c r="O145" s="64"/>
      <c r="P145" s="64"/>
      <c r="Q145" s="64"/>
      <c r="R145" s="64"/>
      <c r="S145" s="64"/>
      <c r="T145" s="64"/>
      <c r="U145" s="1158"/>
    </row>
    <row r="146" spans="1:37" ht="12" customHeight="1">
      <c r="A146" s="130" t="s">
        <v>873</v>
      </c>
      <c r="B146" s="361" t="s">
        <v>365</v>
      </c>
      <c r="C146" s="74">
        <v>1.2</v>
      </c>
      <c r="D146" s="389" t="s">
        <v>536</v>
      </c>
      <c r="E146" s="1903">
        <f>IF(E145="NA","NA",VLOOKUP(E145,'5) Infeed'!P15:T27,3,FALSE))</f>
        <v>0</v>
      </c>
      <c r="F146" s="1903"/>
      <c r="G146" s="1903"/>
      <c r="H146" s="1903"/>
      <c r="I146" s="1903"/>
      <c r="J146" s="388" t="s">
        <v>536</v>
      </c>
      <c r="K146" s="69" t="e">
        <f ca="1">E11</f>
        <v>#DIV/0!</v>
      </c>
      <c r="L146" s="52"/>
      <c r="M146" s="51"/>
      <c r="N146" s="388"/>
      <c r="O146" s="387"/>
      <c r="P146" s="1246"/>
      <c r="Q146" s="70"/>
      <c r="R146" s="51" t="s">
        <v>365</v>
      </c>
      <c r="S146" s="1256" t="s">
        <v>874</v>
      </c>
      <c r="T146" s="1256"/>
      <c r="U146" s="133" t="e">
        <f ca="1">C146*E146*K146</f>
        <v>#DIV/0!</v>
      </c>
      <c r="W146" s="605" t="s">
        <v>875</v>
      </c>
      <c r="Y146" s="611" t="s">
        <v>876</v>
      </c>
    </row>
    <row r="147" spans="1:37" ht="12" customHeight="1">
      <c r="A147" s="134"/>
      <c r="C147" s="71" t="s">
        <v>544</v>
      </c>
      <c r="E147" s="1922" t="s">
        <v>877</v>
      </c>
      <c r="F147" s="1922"/>
      <c r="G147" s="1922"/>
      <c r="H147" s="1922"/>
      <c r="I147" s="1922"/>
      <c r="J147" s="364"/>
      <c r="K147" s="73" t="s">
        <v>370</v>
      </c>
      <c r="L147" s="71"/>
      <c r="M147" s="22"/>
      <c r="N147" s="51"/>
      <c r="O147" s="71"/>
      <c r="Q147" s="73"/>
      <c r="S147" s="587" t="s">
        <v>878</v>
      </c>
      <c r="T147" s="587"/>
      <c r="U147" s="135">
        <f>IF(E145="NA","NA",VLOOKUP(E145,'5) Infeed'!P15:T27,5,FALSE))</f>
        <v>0</v>
      </c>
      <c r="W147" s="605" t="s">
        <v>879</v>
      </c>
    </row>
    <row r="148" spans="1:37" ht="12" customHeight="1" thickBot="1">
      <c r="A148" s="134"/>
      <c r="C148" s="71"/>
      <c r="E148" s="71"/>
      <c r="F148" s="71"/>
      <c r="G148" s="71"/>
      <c r="H148" s="71"/>
      <c r="I148" s="71"/>
      <c r="J148" s="364"/>
      <c r="K148" s="73"/>
      <c r="L148" s="71"/>
      <c r="M148" s="22"/>
      <c r="N148" s="51"/>
      <c r="O148" s="71"/>
      <c r="Q148" s="73"/>
      <c r="S148" s="587"/>
      <c r="T148" s="587"/>
      <c r="U148" s="123"/>
    </row>
    <row r="149" spans="1:37" ht="12" customHeight="1" thickBot="1">
      <c r="B149" s="76"/>
      <c r="C149" s="136"/>
      <c r="E149" s="1878" t="s">
        <v>880</v>
      </c>
      <c r="F149" s="1878"/>
      <c r="G149" s="1878"/>
      <c r="H149" s="1878"/>
      <c r="I149" s="1878"/>
      <c r="J149" s="1878"/>
      <c r="K149" s="1878"/>
      <c r="L149" s="1878"/>
      <c r="M149" s="1879"/>
      <c r="O149" s="1061">
        <f>IFERROR(VLOOKUP("IMPEDANCE ANALYSIS INFORMATION ; 120% min apparent impedance value for Test 11 (Magnitude):",SDA_TABLE[#All],7,FALSE),"")</f>
        <v>0</v>
      </c>
      <c r="Q149" s="73"/>
      <c r="S149" s="137"/>
      <c r="T149" s="137"/>
      <c r="U149" s="107"/>
    </row>
    <row r="150" spans="1:37" ht="12" customHeight="1">
      <c r="B150" s="76"/>
      <c r="C150" s="136"/>
      <c r="E150" s="1880"/>
      <c r="F150" s="1880"/>
      <c r="G150" s="1880"/>
      <c r="H150" s="1880"/>
      <c r="I150" s="1880"/>
      <c r="J150" s="1880"/>
      <c r="K150" s="1880"/>
      <c r="L150" s="1880"/>
      <c r="M150" s="1881"/>
      <c r="N150" s="1062"/>
      <c r="O150" s="108" t="s">
        <v>855</v>
      </c>
      <c r="Q150" s="73"/>
      <c r="S150" s="137"/>
      <c r="T150" s="137"/>
      <c r="U150" s="107"/>
    </row>
    <row r="151" spans="1:37" ht="12" customHeight="1" thickBot="1">
      <c r="B151" s="76"/>
      <c r="C151" s="136"/>
      <c r="E151" s="1880"/>
      <c r="F151" s="1880"/>
      <c r="G151" s="1880"/>
      <c r="H151" s="1880"/>
      <c r="I151" s="1880"/>
      <c r="J151" s="1880"/>
      <c r="K151" s="1880"/>
      <c r="L151" s="1880"/>
      <c r="M151" s="1881"/>
      <c r="N151" s="110"/>
      <c r="O151" s="1061">
        <f>IFERROR(VLOOKUP("IMPEDANCE ANALYSIS INFORMATION ; 120% max apparent impedance value for Test 11 (Magnitude):",SDA_TABLE[#All],7,FALSE),"")</f>
        <v>0</v>
      </c>
      <c r="Q151" s="73"/>
      <c r="S151" s="137"/>
      <c r="T151" s="137"/>
      <c r="U151" s="107"/>
    </row>
    <row r="152" spans="1:37" ht="12" customHeight="1" thickBot="1">
      <c r="B152" s="76"/>
      <c r="C152" s="136"/>
      <c r="E152" s="1882"/>
      <c r="F152" s="1882"/>
      <c r="G152" s="1882"/>
      <c r="H152" s="1882"/>
      <c r="I152" s="1882"/>
      <c r="J152" s="1882"/>
      <c r="K152" s="1882"/>
      <c r="L152" s="1882"/>
      <c r="M152" s="1883"/>
      <c r="O152" s="108" t="s">
        <v>831</v>
      </c>
      <c r="Q152" s="73"/>
      <c r="S152" s="137"/>
      <c r="T152" s="137"/>
      <c r="U152" s="107"/>
    </row>
    <row r="153" spans="1:37" ht="12" customHeight="1">
      <c r="B153" s="76"/>
      <c r="C153" s="136"/>
      <c r="E153" s="71"/>
      <c r="G153" s="101"/>
      <c r="I153" s="101"/>
      <c r="J153" s="364"/>
      <c r="K153" s="71"/>
      <c r="M153" s="71"/>
      <c r="N153" s="51"/>
      <c r="O153" s="73"/>
      <c r="Q153" s="73"/>
      <c r="S153" s="137"/>
      <c r="T153" s="137"/>
      <c r="U153" s="107"/>
    </row>
    <row r="154" spans="1:37" ht="12" customHeight="1">
      <c r="B154" s="138"/>
      <c r="H154" s="144"/>
      <c r="J154" s="364"/>
      <c r="N154" s="51"/>
      <c r="Q154" s="364"/>
      <c r="S154" s="103"/>
      <c r="T154" s="103"/>
      <c r="U154" s="1158" t="s">
        <v>881</v>
      </c>
    </row>
    <row r="155" spans="1:37" ht="12" customHeight="1">
      <c r="A155" s="130" t="s">
        <v>882</v>
      </c>
      <c r="B155" s="361" t="s">
        <v>883</v>
      </c>
      <c r="C155" s="329">
        <f ca="1">IF($E$5&lt;100,91.3%,85%)</f>
        <v>0.91299999999999992</v>
      </c>
      <c r="D155" s="37" t="s">
        <v>536</v>
      </c>
      <c r="E155" s="647">
        <f ca="1">$E$5*1000</f>
        <v>0</v>
      </c>
      <c r="F155" s="47" t="s">
        <v>884</v>
      </c>
      <c r="G155" s="66">
        <f>SQRT(3)</f>
        <v>1.7320508075688772</v>
      </c>
      <c r="H155" s="51" t="s">
        <v>536</v>
      </c>
      <c r="I155" s="1911">
        <f ca="1">$E$7</f>
        <v>0</v>
      </c>
      <c r="J155" s="1911"/>
      <c r="K155" s="1911"/>
      <c r="L155" s="51" t="s">
        <v>536</v>
      </c>
      <c r="M155" s="67" t="e">
        <f>IF(PRC_023_3_BIT,COS(PI()*(S24-40)/180),IF(U160&lt;&gt;"",COS(PI()*(U160-'1) Data Entry'!G50)/180),COS(PI()*(S24-'1) Data Entry'!G50)/180)))</f>
        <v>#DIV/0!</v>
      </c>
      <c r="N155" s="52" t="s">
        <v>858</v>
      </c>
      <c r="O155" s="69" t="e">
        <f ca="1">E11</f>
        <v>#DIV/0!</v>
      </c>
      <c r="P155" s="51" t="s">
        <v>365</v>
      </c>
      <c r="Q155" s="1257" t="e">
        <f ca="1">(C155*E155)/(G155*I155*M155)</f>
        <v>#DIV/0!</v>
      </c>
      <c r="R155" s="51" t="s">
        <v>536</v>
      </c>
      <c r="S155" s="69" t="e">
        <f ca="1">ROUND(E11,5)</f>
        <v>#DIV/0!</v>
      </c>
      <c r="T155" s="327" t="s">
        <v>365</v>
      </c>
      <c r="U155" s="135" t="e">
        <f ca="1">ROUNDDOWN(0.999*Q155*E11,2)</f>
        <v>#DIV/0!</v>
      </c>
      <c r="W155" s="605" t="s">
        <v>885</v>
      </c>
    </row>
    <row r="156" spans="1:37" ht="12" customHeight="1">
      <c r="A156" s="134"/>
      <c r="B156" s="76"/>
      <c r="C156" s="331" t="s">
        <v>886</v>
      </c>
      <c r="E156" s="71" t="s">
        <v>887</v>
      </c>
      <c r="G156" s="101" t="s">
        <v>542</v>
      </c>
      <c r="I156" s="1924" t="s">
        <v>888</v>
      </c>
      <c r="J156" s="1924"/>
      <c r="K156" s="1924"/>
      <c r="M156" s="71" t="str">
        <f>IF(NERC_Criteria ="PRC-023-3","Cos (qm - 40) [ref 2]", "Gen Power Angle")</f>
        <v>Gen Power Angle</v>
      </c>
      <c r="N156" s="51"/>
      <c r="O156" s="73" t="s">
        <v>370</v>
      </c>
      <c r="Q156" s="73" t="s">
        <v>889</v>
      </c>
      <c r="S156" s="73" t="s">
        <v>370</v>
      </c>
      <c r="T156" s="137"/>
      <c r="U156" s="106" t="e">
        <f>IF(U160&lt;&gt;"",U160,S24)</f>
        <v>#DIV/0!</v>
      </c>
      <c r="W156" s="605" t="s">
        <v>890</v>
      </c>
    </row>
    <row r="157" spans="1:37" ht="12" customHeight="1">
      <c r="B157" s="1738" t="s">
        <v>891</v>
      </c>
      <c r="C157" s="1738"/>
      <c r="D157" s="1738"/>
      <c r="E157" s="1738"/>
      <c r="F157" s="1738"/>
      <c r="G157" s="1738"/>
      <c r="H157" s="1738"/>
      <c r="I157" s="1738"/>
      <c r="J157" s="1738"/>
      <c r="K157" s="1738"/>
      <c r="L157" s="1738"/>
      <c r="M157" s="1738"/>
      <c r="N157" s="1738"/>
      <c r="O157" s="1738"/>
      <c r="Q157" s="1910" t="e">
        <f ca="1">IF(U155&lt;=U146,"MAX Z3F is less than the apparent impedance of line end 3LG fault on the longest 2nd line, please lower the TARP Multiplication factor in Data Entry sheet or chosse a different PRC-023-3 criteria","")</f>
        <v>#DIV/0!</v>
      </c>
      <c r="R157" s="1910"/>
      <c r="S157" s="1910"/>
      <c r="T157" s="1910"/>
      <c r="U157" s="1910"/>
      <c r="V157" s="1910"/>
      <c r="W157" s="1910"/>
      <c r="X157" s="1910"/>
      <c r="Y157" s="1910"/>
      <c r="Z157" s="1910"/>
    </row>
    <row r="158" spans="1:37" ht="12" customHeight="1">
      <c r="B158" s="1738"/>
      <c r="C158" s="1738"/>
      <c r="D158" s="1738"/>
      <c r="E158" s="1738"/>
      <c r="F158" s="1738"/>
      <c r="G158" s="1738"/>
      <c r="H158" s="1738"/>
      <c r="I158" s="1738"/>
      <c r="J158" s="1738"/>
      <c r="K158" s="1738"/>
      <c r="L158" s="1738"/>
      <c r="M158" s="1738"/>
      <c r="N158" s="1738"/>
      <c r="O158" s="1738"/>
      <c r="Q158" s="1910"/>
      <c r="R158" s="1910"/>
      <c r="S158" s="1910"/>
      <c r="T158" s="1910"/>
      <c r="U158" s="1910"/>
      <c r="V158" s="1910"/>
      <c r="W158" s="1910"/>
      <c r="X158" s="1910"/>
      <c r="Y158" s="1910"/>
      <c r="Z158" s="1910"/>
    </row>
    <row r="159" spans="1:37" ht="12" customHeight="1" thickBot="1">
      <c r="B159" s="1073"/>
      <c r="C159" s="1073"/>
      <c r="D159" s="1073"/>
      <c r="E159" s="1073"/>
      <c r="F159" s="1073"/>
      <c r="G159" s="1073"/>
      <c r="H159" s="1073"/>
      <c r="I159" s="1073"/>
      <c r="J159" s="1073"/>
      <c r="K159" s="1073"/>
      <c r="L159" s="1073"/>
      <c r="M159" s="1073"/>
      <c r="N159" s="1073"/>
      <c r="O159" s="1073"/>
      <c r="Q159" s="1910"/>
      <c r="R159" s="1910"/>
      <c r="S159" s="1910"/>
      <c r="T159" s="1910"/>
      <c r="U159" s="1910"/>
      <c r="V159" s="1910"/>
      <c r="W159" s="1910"/>
      <c r="X159" s="1910"/>
      <c r="Y159" s="1910"/>
      <c r="Z159" s="1910"/>
    </row>
    <row r="160" spans="1:37" ht="12" customHeight="1" thickBot="1">
      <c r="B160" s="1073"/>
      <c r="C160" s="1073"/>
      <c r="D160" s="1073"/>
      <c r="E160" s="1073"/>
      <c r="F160" s="1073"/>
      <c r="G160" s="1073"/>
      <c r="H160" s="1073"/>
      <c r="I160" s="1073"/>
      <c r="J160" s="1073"/>
      <c r="K160" s="1073"/>
      <c r="L160" s="1073"/>
      <c r="M160" s="1073"/>
      <c r="N160" s="1073"/>
      <c r="O160" s="1073"/>
      <c r="Q160" s="1394"/>
      <c r="R160" s="1394"/>
      <c r="S160" s="912" t="s">
        <v>892</v>
      </c>
      <c r="T160" s="327" t="s">
        <v>365</v>
      </c>
      <c r="U160" s="1258"/>
      <c r="V160" s="1394"/>
      <c r="W160" s="1941" t="s">
        <v>893</v>
      </c>
      <c r="X160" s="1941"/>
      <c r="Y160" s="1941"/>
      <c r="Z160" s="1941"/>
      <c r="AA160" s="1941"/>
      <c r="AB160" s="1941"/>
      <c r="AC160" s="1941"/>
      <c r="AD160" s="915"/>
      <c r="AE160" s="915"/>
      <c r="AF160" s="915"/>
      <c r="AG160" s="915"/>
      <c r="AH160" s="915"/>
      <c r="AI160" s="915"/>
      <c r="AJ160" s="915"/>
      <c r="AK160" s="915"/>
    </row>
    <row r="161" spans="1:37" ht="12" customHeight="1">
      <c r="A161" s="1782" t="s">
        <v>894</v>
      </c>
      <c r="B161" s="138"/>
      <c r="H161" s="144"/>
      <c r="J161" s="364"/>
      <c r="N161" s="51"/>
      <c r="Q161" s="364"/>
      <c r="S161" s="103"/>
      <c r="T161" s="103"/>
      <c r="U161" s="1259" t="s">
        <v>26</v>
      </c>
      <c r="W161" s="1941"/>
      <c r="X161" s="1941"/>
      <c r="Y161" s="1941"/>
      <c r="Z161" s="1941"/>
      <c r="AA161" s="1941"/>
      <c r="AB161" s="1941"/>
      <c r="AC161" s="1941"/>
      <c r="AD161" s="915"/>
      <c r="AE161" s="915"/>
      <c r="AF161" s="915"/>
      <c r="AG161" s="915"/>
      <c r="AH161" s="915"/>
      <c r="AI161" s="915"/>
      <c r="AJ161" s="915"/>
      <c r="AK161" s="915"/>
    </row>
    <row r="162" spans="1:37" ht="12" customHeight="1">
      <c r="A162" s="1782"/>
      <c r="B162" s="361" t="s">
        <v>883</v>
      </c>
      <c r="C162" s="329">
        <f ca="1">IF($E$5&lt;100,91.3%,85%)</f>
        <v>0.91299999999999992</v>
      </c>
      <c r="D162" s="37" t="s">
        <v>536</v>
      </c>
      <c r="E162" s="647">
        <f ca="1">$E$5*1000</f>
        <v>0</v>
      </c>
      <c r="F162" s="47" t="s">
        <v>884</v>
      </c>
      <c r="G162" s="66">
        <f>SQRT(3)</f>
        <v>1.7320508075688772</v>
      </c>
      <c r="H162" s="51" t="s">
        <v>536</v>
      </c>
      <c r="I162" s="1911">
        <f ca="1">$E$7</f>
        <v>0</v>
      </c>
      <c r="J162" s="1911"/>
      <c r="K162" s="1911"/>
      <c r="L162" s="52" t="s">
        <v>858</v>
      </c>
      <c r="M162" s="69" t="e">
        <f ca="1">E11</f>
        <v>#DIV/0!</v>
      </c>
      <c r="N162" s="51" t="s">
        <v>365</v>
      </c>
      <c r="O162" s="1257" t="e">
        <f ca="1">(C162*E162)/(G162*I162)</f>
        <v>#DIV/0!</v>
      </c>
      <c r="P162" s="51" t="s">
        <v>536</v>
      </c>
      <c r="Q162" s="69" t="e">
        <f ca="1">E11</f>
        <v>#DIV/0!</v>
      </c>
      <c r="S162" s="386" t="s">
        <v>895</v>
      </c>
      <c r="T162" s="327" t="s">
        <v>365</v>
      </c>
      <c r="U162" s="78" t="e">
        <f ca="1">IF(PRC_023_3_BIT=1,ROUNDDOWN(0.999*O162*Q162,2),ROUNDDOWN('1) Data Entry'!U50:V50,2))</f>
        <v>#DIV/0!</v>
      </c>
      <c r="W162" s="605" t="s">
        <v>896</v>
      </c>
    </row>
    <row r="163" spans="1:37" ht="12" customHeight="1">
      <c r="B163" s="76"/>
      <c r="C163" s="331" t="s">
        <v>886</v>
      </c>
      <c r="E163" s="71" t="s">
        <v>887</v>
      </c>
      <c r="G163" s="101" t="s">
        <v>542</v>
      </c>
      <c r="I163" s="1924" t="s">
        <v>888</v>
      </c>
      <c r="J163" s="1924"/>
      <c r="K163" s="1924"/>
      <c r="L163" s="51"/>
      <c r="M163" s="73" t="s">
        <v>897</v>
      </c>
      <c r="O163" s="73" t="s">
        <v>889</v>
      </c>
      <c r="Q163" s="73" t="s">
        <v>370</v>
      </c>
      <c r="S163" s="386" t="s">
        <v>898</v>
      </c>
      <c r="T163" s="327" t="s">
        <v>365</v>
      </c>
      <c r="U163" s="78">
        <f>ROUNDUP(IF(PRC_023_3_BIT=1,40,'1) Data Entry'!G50+2),0)</f>
        <v>40</v>
      </c>
      <c r="W163" s="907" t="str">
        <f>IF(NERC_Criteria="PRC-025-1", "Load encroachment calculation are performed as per PRC-025-01","")</f>
        <v/>
      </c>
    </row>
    <row r="164" spans="1:37" ht="12" customHeight="1">
      <c r="B164" s="76"/>
      <c r="C164" s="136"/>
      <c r="E164" s="71"/>
      <c r="G164" s="101"/>
      <c r="I164" s="101"/>
      <c r="J164" s="364"/>
      <c r="K164" s="71"/>
      <c r="M164" s="71"/>
      <c r="N164" s="51"/>
      <c r="O164" s="73"/>
      <c r="Q164" s="73"/>
      <c r="S164" s="386" t="s">
        <v>899</v>
      </c>
      <c r="T164" s="327" t="s">
        <v>365</v>
      </c>
      <c r="U164" s="78">
        <f>ROUNDUP(IF(PRC_023_3_BIT=1,-40,'1) Data Entry'!G50*-1-2),0)</f>
        <v>-40</v>
      </c>
    </row>
    <row r="165" spans="1:37" ht="12" customHeight="1">
      <c r="A165" s="1944" t="s">
        <v>900</v>
      </c>
      <c r="B165" s="1944"/>
      <c r="C165" s="1944"/>
      <c r="D165" s="1947" t="s">
        <v>365</v>
      </c>
      <c r="E165" s="1949" t="s">
        <v>901</v>
      </c>
      <c r="F165" s="1950"/>
      <c r="G165" s="1950"/>
      <c r="H165" s="1947" t="s">
        <v>365</v>
      </c>
      <c r="I165" s="756" t="e">
        <f ca="1">IF(U160&lt;&gt;"",ROUND(_ZLF*SIN((U160-U163)*PI()/180)/SIN((180-U160)*PI()/180),2),ROUND(_ZLF*SIN((_Z1ANG-U163)*PI()/180)/SIN((180-_Z1ANG)*PI()/180),2))</f>
        <v>#DIV/0!</v>
      </c>
      <c r="J165" s="1945" t="s">
        <v>902</v>
      </c>
      <c r="K165" s="1946"/>
      <c r="L165" s="1921" t="e">
        <f ca="1">IF(I165&lt;=(ArcResistance*CTR_PTR),"Zone 3 does not have enough resistive coverage after the load encroachment.","Zone 3 does have enough resistive coverage after the load encroachment.")</f>
        <v>#DIV/0!</v>
      </c>
      <c r="M165" s="1921"/>
      <c r="N165" s="1921"/>
      <c r="O165" s="1921"/>
      <c r="P165" s="1921"/>
      <c r="Q165" s="1921"/>
      <c r="R165" s="1921"/>
      <c r="S165" s="1921"/>
      <c r="T165" s="1921"/>
      <c r="U165" s="1921"/>
    </row>
    <row r="166" spans="1:37" ht="12" customHeight="1">
      <c r="A166" s="1944"/>
      <c r="B166" s="1944"/>
      <c r="C166" s="1944"/>
      <c r="D166" s="1948"/>
      <c r="E166" s="1951" t="s">
        <v>903</v>
      </c>
      <c r="F166" s="1951"/>
      <c r="G166" s="1951"/>
      <c r="H166" s="1948"/>
      <c r="I166" s="756"/>
      <c r="J166" s="756"/>
      <c r="K166" s="756"/>
      <c r="L166" s="1921"/>
      <c r="M166" s="1921"/>
      <c r="N166" s="1921"/>
      <c r="O166" s="1921"/>
      <c r="P166" s="1921"/>
      <c r="Q166" s="1921"/>
      <c r="R166" s="1921"/>
      <c r="S166" s="1921"/>
      <c r="T166" s="1921"/>
      <c r="U166" s="1921"/>
    </row>
    <row r="167" spans="1:37" ht="12" customHeight="1">
      <c r="A167" s="1944"/>
      <c r="B167" s="1944"/>
      <c r="C167" s="1944"/>
      <c r="E167" s="71"/>
      <c r="G167" s="101"/>
      <c r="I167" s="101"/>
      <c r="J167" s="364"/>
      <c r="K167" s="71"/>
      <c r="L167" s="1921"/>
      <c r="M167" s="1921"/>
      <c r="N167" s="1921"/>
      <c r="O167" s="1921"/>
      <c r="P167" s="1921"/>
      <c r="Q167" s="1921"/>
      <c r="R167" s="1921"/>
      <c r="S167" s="1921"/>
      <c r="T167" s="1921"/>
      <c r="U167" s="1921"/>
    </row>
    <row r="168" spans="1:37" ht="12" customHeight="1">
      <c r="B168" s="76"/>
      <c r="C168" s="136"/>
      <c r="E168" s="71"/>
      <c r="G168" s="101"/>
      <c r="I168" s="101"/>
      <c r="J168" s="364"/>
      <c r="K168" s="71"/>
      <c r="M168" s="71"/>
      <c r="N168" s="51"/>
      <c r="O168" s="73"/>
      <c r="Q168" s="73"/>
      <c r="S168" s="137"/>
      <c r="T168" s="137"/>
    </row>
    <row r="169" spans="1:37" ht="12" customHeight="1">
      <c r="A169" s="98" t="s">
        <v>856</v>
      </c>
      <c r="B169" s="138"/>
      <c r="F169" s="139"/>
      <c r="H169" s="144"/>
      <c r="J169" s="140"/>
      <c r="M169" s="141"/>
      <c r="N169" s="51"/>
      <c r="Q169" s="364"/>
      <c r="S169" s="103"/>
      <c r="T169" s="103"/>
      <c r="U169" s="1158"/>
    </row>
    <row r="170" spans="1:37" ht="12" customHeight="1">
      <c r="A170" s="130"/>
      <c r="B170" s="361" t="s">
        <v>365</v>
      </c>
      <c r="C170" s="1254">
        <f>'1) Data Entry'!E216</f>
        <v>0</v>
      </c>
      <c r="D170" s="37" t="s">
        <v>769</v>
      </c>
      <c r="E170" s="1255" t="e">
        <f>'1) Data Entry'!AJ334</f>
        <v>#N/A</v>
      </c>
      <c r="F170" s="52" t="s">
        <v>461</v>
      </c>
      <c r="G170" s="1255" t="e">
        <f>'1) Data Entry'!AK334</f>
        <v>#N/A</v>
      </c>
      <c r="H170" s="37" t="s">
        <v>857</v>
      </c>
      <c r="I170" s="1255" t="e">
        <f>'1) Data Entry'!AL334</f>
        <v>#N/A</v>
      </c>
      <c r="J170" s="52" t="s">
        <v>461</v>
      </c>
      <c r="K170" s="1255" t="e">
        <f>'1) Data Entry'!AM334</f>
        <v>#N/A</v>
      </c>
      <c r="L170" s="759" t="s">
        <v>858</v>
      </c>
      <c r="M170" s="132">
        <f ca="1">$E$6</f>
        <v>0</v>
      </c>
      <c r="N170" s="392" t="s">
        <v>365</v>
      </c>
      <c r="Q170" s="68" t="e">
        <f ca="1">SQRT((C170*E170+I170)^2+(C170*G170+K170)^2)*M170</f>
        <v>#N/A</v>
      </c>
      <c r="R170" s="51" t="s">
        <v>536</v>
      </c>
      <c r="S170" s="69" t="e">
        <f ca="1">$E$11</f>
        <v>#DIV/0!</v>
      </c>
      <c r="T170" s="142" t="s">
        <v>365</v>
      </c>
      <c r="U170" s="105" t="e">
        <f ca="1">Q170*S170</f>
        <v>#N/A</v>
      </c>
      <c r="W170" s="605" t="s">
        <v>859</v>
      </c>
    </row>
    <row r="171" spans="1:37" ht="12" customHeight="1">
      <c r="B171" s="76"/>
      <c r="C171" s="143" t="s">
        <v>860</v>
      </c>
      <c r="E171" s="71"/>
      <c r="F171" s="71" t="s">
        <v>861</v>
      </c>
      <c r="G171" s="101"/>
      <c r="I171" s="101"/>
      <c r="J171" s="71" t="s">
        <v>862</v>
      </c>
      <c r="K171" s="72"/>
      <c r="L171" s="144"/>
      <c r="M171" s="71" t="s">
        <v>471</v>
      </c>
      <c r="Q171" s="73" t="s">
        <v>863</v>
      </c>
      <c r="S171" s="73" t="s">
        <v>370</v>
      </c>
      <c r="T171" s="137"/>
      <c r="U171" s="106" t="e">
        <f>DEGREES(ATAN((G170+K170)/(E170+I170)))</f>
        <v>#N/A</v>
      </c>
      <c r="W171" s="605" t="s">
        <v>864</v>
      </c>
    </row>
    <row r="172" spans="1:37" ht="12" customHeight="1">
      <c r="B172" s="76"/>
      <c r="C172" s="1519" t="e">
        <f>'1) Data Entry'!AI334&amp;", located at "&amp;'1) Data Entry'!AN334&amp;", is the distribution transformer with the minimum impedance as seen by the relay (line impedance plus "&amp;100*'1) Data Entry'!E216&amp;"% of transformer impedance)"</f>
        <v>#N/A</v>
      </c>
      <c r="D172" s="1519"/>
      <c r="E172" s="1519"/>
      <c r="F172" s="1519"/>
      <c r="G172" s="1519"/>
      <c r="H172" s="1519"/>
      <c r="I172" s="1519"/>
      <c r="J172" s="1519"/>
      <c r="K172" s="1519"/>
      <c r="L172" s="1519"/>
      <c r="M172" s="1519"/>
      <c r="Q172" s="73"/>
      <c r="S172" s="137"/>
      <c r="T172" s="137"/>
      <c r="U172" s="107"/>
    </row>
    <row r="173" spans="1:37" s="64" customFormat="1" ht="12" customHeight="1">
      <c r="A173"/>
      <c r="B173" s="138"/>
      <c r="C173" s="1519"/>
      <c r="D173" s="1519"/>
      <c r="E173" s="1519"/>
      <c r="F173" s="1519"/>
      <c r="G173" s="1519"/>
      <c r="H173" s="1519"/>
      <c r="I173" s="1519"/>
      <c r="J173" s="1519"/>
      <c r="K173" s="1519"/>
      <c r="L173" s="1519"/>
      <c r="M173" s="1519"/>
      <c r="N173" s="51"/>
      <c r="O173"/>
      <c r="P173"/>
      <c r="Q173" s="364"/>
      <c r="R173"/>
      <c r="S173" s="587"/>
      <c r="T173" s="103"/>
      <c r="U173" s="123"/>
      <c r="W173" s="601"/>
      <c r="Y173" s="614"/>
    </row>
    <row r="174" spans="1:37" s="64" customFormat="1" ht="12" customHeight="1" thickBot="1">
      <c r="A174"/>
      <c r="B174" s="138"/>
      <c r="C174" s="1386"/>
      <c r="D174" s="1386"/>
      <c r="E174" s="1386"/>
      <c r="F174" s="1386"/>
      <c r="G174" s="1386"/>
      <c r="H174" s="1386"/>
      <c r="I174" s="1386"/>
      <c r="J174" s="1386"/>
      <c r="K174" s="1386"/>
      <c r="L174" s="1386"/>
      <c r="M174" s="1386"/>
      <c r="N174" s="51"/>
      <c r="O174"/>
      <c r="P174"/>
      <c r="Q174" s="364"/>
      <c r="R174"/>
      <c r="S174" s="587"/>
      <c r="T174" s="103"/>
      <c r="U174" s="123"/>
      <c r="W174" s="601"/>
      <c r="Y174" s="614"/>
    </row>
    <row r="175" spans="1:37" s="64" customFormat="1" ht="12" customHeight="1" thickBot="1">
      <c r="A175"/>
      <c r="B175" s="1878" t="s">
        <v>904</v>
      </c>
      <c r="C175" s="1878"/>
      <c r="D175" s="1878"/>
      <c r="E175" s="1878"/>
      <c r="F175" s="1878"/>
      <c r="G175" s="1878"/>
      <c r="H175" s="1878"/>
      <c r="I175" s="1878"/>
      <c r="J175" s="1878"/>
      <c r="K175" s="1878"/>
      <c r="L175" s="1878"/>
      <c r="M175" s="1879"/>
      <c r="N175"/>
      <c r="O175" s="1061">
        <f>IFERROR(VLOOKUP("IMPEDANCE ANALYSIS INFORMATION ; 120% min apparent impedance value for Test 12 (Magnitude):",SDA_TABLE[#All],7,FALSE),"")</f>
        <v>0</v>
      </c>
      <c r="P175"/>
      <c r="Q175" s="364"/>
      <c r="R175"/>
      <c r="S175" s="587"/>
      <c r="T175" s="103"/>
      <c r="U175" s="123"/>
      <c r="W175" s="601"/>
      <c r="Y175" s="614"/>
    </row>
    <row r="176" spans="1:37" s="64" customFormat="1" ht="12" customHeight="1">
      <c r="A176"/>
      <c r="B176" s="1880"/>
      <c r="C176" s="1880"/>
      <c r="D176" s="1880"/>
      <c r="E176" s="1880"/>
      <c r="F176" s="1880"/>
      <c r="G176" s="1880"/>
      <c r="H176" s="1880"/>
      <c r="I176" s="1880"/>
      <c r="J176" s="1880"/>
      <c r="K176" s="1880"/>
      <c r="L176" s="1880"/>
      <c r="M176" s="1881"/>
      <c r="N176" s="1062"/>
      <c r="O176" s="108" t="s">
        <v>855</v>
      </c>
      <c r="P176"/>
      <c r="Q176" s="364"/>
      <c r="R176"/>
      <c r="S176" s="587"/>
      <c r="T176" s="103"/>
      <c r="U176" s="123"/>
      <c r="W176" s="601"/>
      <c r="Y176" s="614"/>
    </row>
    <row r="177" spans="1:29" s="64" customFormat="1" ht="12" customHeight="1" thickBot="1">
      <c r="A177"/>
      <c r="B177" s="1880"/>
      <c r="C177" s="1880"/>
      <c r="D177" s="1880"/>
      <c r="E177" s="1880"/>
      <c r="F177" s="1880"/>
      <c r="G177" s="1880"/>
      <c r="H177" s="1880"/>
      <c r="I177" s="1880"/>
      <c r="J177" s="1880"/>
      <c r="K177" s="1880"/>
      <c r="L177" s="1880"/>
      <c r="M177" s="1881"/>
      <c r="N177" s="110"/>
      <c r="O177" s="1061">
        <f>IFERROR(VLOOKUP("IMPEDANCE ANALYSIS INFORMATION ; 120% max apparent impedance value for Test 12 (Magnitude):",SDA_TABLE[#All],7,FALSE),"")</f>
        <v>0</v>
      </c>
      <c r="P177"/>
      <c r="Q177" s="364"/>
      <c r="R177"/>
      <c r="S177" s="587"/>
      <c r="T177" s="103"/>
      <c r="U177" s="123"/>
      <c r="W177" s="601"/>
      <c r="Y177" s="614"/>
    </row>
    <row r="178" spans="1:29" s="64" customFormat="1" ht="21" customHeight="1" thickBot="1">
      <c r="A178"/>
      <c r="B178" s="1882"/>
      <c r="C178" s="1882"/>
      <c r="D178" s="1882"/>
      <c r="E178" s="1882"/>
      <c r="F178" s="1882"/>
      <c r="G178" s="1882"/>
      <c r="H178" s="1882"/>
      <c r="I178" s="1882"/>
      <c r="J178" s="1882"/>
      <c r="K178" s="1882"/>
      <c r="L178" s="1882"/>
      <c r="M178" s="1883"/>
      <c r="N178"/>
      <c r="O178" s="108" t="s">
        <v>831</v>
      </c>
      <c r="P178"/>
      <c r="Q178" s="364"/>
      <c r="R178"/>
      <c r="S178" s="587"/>
      <c r="T178" s="103"/>
      <c r="U178" s="123"/>
      <c r="W178" s="601"/>
      <c r="Y178" s="614"/>
    </row>
    <row r="179" spans="1:29" s="64" customFormat="1" ht="12" customHeight="1">
      <c r="A179"/>
      <c r="B179" s="138"/>
      <c r="C179" s="1386"/>
      <c r="D179" s="1386"/>
      <c r="E179" s="1386"/>
      <c r="F179" s="1386"/>
      <c r="G179" s="1386"/>
      <c r="H179" s="1386"/>
      <c r="I179" s="1386"/>
      <c r="J179" s="1386"/>
      <c r="K179" s="1386"/>
      <c r="L179" s="1386"/>
      <c r="M179" s="1386"/>
      <c r="N179" s="51"/>
      <c r="O179"/>
      <c r="P179"/>
      <c r="Q179" s="364"/>
      <c r="R179"/>
      <c r="S179" s="587"/>
      <c r="T179" s="103"/>
      <c r="U179" s="123"/>
      <c r="W179" s="601"/>
      <c r="Y179" s="614"/>
    </row>
    <row r="180" spans="1:29" ht="12" customHeight="1">
      <c r="B180" s="138"/>
      <c r="H180" s="144"/>
      <c r="J180" s="364"/>
      <c r="N180" s="51"/>
      <c r="Q180" s="364"/>
      <c r="R180" s="1954" t="s">
        <v>905</v>
      </c>
      <c r="S180" s="1954"/>
      <c r="T180" s="1954"/>
      <c r="U180" s="1954"/>
    </row>
    <row r="181" spans="1:29" ht="12" customHeight="1">
      <c r="B181" s="138"/>
      <c r="H181" s="144"/>
      <c r="J181" s="364"/>
      <c r="N181" s="51"/>
      <c r="Q181" s="364"/>
      <c r="R181" s="1929" t="s">
        <v>348</v>
      </c>
      <c r="S181" s="1929"/>
      <c r="T181" s="51"/>
      <c r="U181" s="51" t="s">
        <v>349</v>
      </c>
    </row>
    <row r="182" spans="1:29" ht="12" customHeight="1">
      <c r="A182" s="130" t="s">
        <v>906</v>
      </c>
      <c r="B182" s="131" t="s">
        <v>883</v>
      </c>
      <c r="C182" s="68" t="e">
        <f ca="1">U155</f>
        <v>#DIV/0!</v>
      </c>
      <c r="D182" s="51" t="s">
        <v>536</v>
      </c>
      <c r="E182" s="66">
        <f>COS(RADIANS(U163))</f>
        <v>0.76604444311897801</v>
      </c>
      <c r="F182" s="37" t="s">
        <v>907</v>
      </c>
      <c r="G182" s="68" t="e">
        <f ca="1">U155</f>
        <v>#DIV/0!</v>
      </c>
      <c r="H182" s="51" t="s">
        <v>536</v>
      </c>
      <c r="I182" s="66">
        <f>SIN(RADIANS(U163))</f>
        <v>0.64278760968653925</v>
      </c>
      <c r="J182" s="52" t="s">
        <v>539</v>
      </c>
      <c r="K182" s="99" t="e">
        <f ca="1">C182*E182</f>
        <v>#DIV/0!</v>
      </c>
      <c r="L182" s="52" t="s">
        <v>461</v>
      </c>
      <c r="M182" s="67" t="e">
        <f ca="1">G182*I182</f>
        <v>#DIV/0!</v>
      </c>
      <c r="R182" s="1952" t="e">
        <f ca="1">K182</f>
        <v>#DIV/0!</v>
      </c>
      <c r="S182" s="1953"/>
      <c r="T182" s="1260" t="s">
        <v>461</v>
      </c>
      <c r="U182" s="522" t="e">
        <f ca="1">M182</f>
        <v>#DIV/0!</v>
      </c>
      <c r="W182" s="605" t="s">
        <v>908</v>
      </c>
    </row>
    <row r="183" spans="1:29" ht="12" customHeight="1">
      <c r="A183" s="134"/>
      <c r="B183" s="76"/>
      <c r="C183" s="101" t="s">
        <v>909</v>
      </c>
      <c r="E183" s="101" t="s">
        <v>910</v>
      </c>
      <c r="F183" s="71"/>
      <c r="G183" s="101" t="s">
        <v>909</v>
      </c>
      <c r="H183" s="144"/>
      <c r="I183" s="101" t="s">
        <v>911</v>
      </c>
      <c r="J183" s="364"/>
      <c r="K183" s="71"/>
      <c r="L183" s="71" t="s">
        <v>912</v>
      </c>
      <c r="M183" s="71"/>
      <c r="T183" s="137"/>
    </row>
    <row r="184" spans="1:29" s="64" customFormat="1" ht="12" customHeight="1">
      <c r="A184"/>
      <c r="B184" s="138"/>
      <c r="C184" s="71"/>
      <c r="D184" s="37"/>
      <c r="E184" s="1395"/>
      <c r="F184" s="1395"/>
      <c r="G184" s="1395"/>
      <c r="H184" s="144"/>
      <c r="I184" s="1395"/>
      <c r="J184" s="1395"/>
      <c r="K184" s="1395"/>
      <c r="L184"/>
      <c r="M184"/>
      <c r="N184"/>
      <c r="O184" s="1073"/>
      <c r="P184" s="1073"/>
      <c r="Q184" s="1073"/>
      <c r="R184" s="1073"/>
      <c r="S184" s="1073"/>
      <c r="T184" s="1073"/>
      <c r="U184" s="1073"/>
      <c r="W184" s="601"/>
      <c r="Y184" s="614"/>
    </row>
    <row r="185" spans="1:29" s="64" customFormat="1" ht="12" customHeight="1">
      <c r="A185"/>
      <c r="B185" s="138"/>
      <c r="C185" s="71"/>
      <c r="D185" s="37"/>
      <c r="E185" s="1395"/>
      <c r="F185" s="1395"/>
      <c r="G185" s="1395"/>
      <c r="H185" s="144"/>
      <c r="I185" s="1395"/>
      <c r="J185" s="1395"/>
      <c r="K185" s="1395"/>
      <c r="L185"/>
      <c r="M185"/>
      <c r="N185"/>
      <c r="O185" s="1738" t="s">
        <v>865</v>
      </c>
      <c r="P185" s="1738"/>
      <c r="Q185" s="1738"/>
      <c r="R185" s="1738"/>
      <c r="S185" s="1738"/>
      <c r="T185" s="1738"/>
      <c r="U185" s="1738"/>
      <c r="W185" s="601"/>
      <c r="Y185" s="614"/>
    </row>
    <row r="186" spans="1:29" s="64" customFormat="1" ht="12" customHeight="1">
      <c r="K186" s="392"/>
      <c r="L186" s="670"/>
      <c r="M186" s="1155"/>
      <c r="N186" s="1156"/>
      <c r="O186" s="731"/>
      <c r="P186" s="759"/>
      <c r="Q186" s="1155"/>
      <c r="R186" s="1155"/>
      <c r="S186" s="349" t="s">
        <v>26</v>
      </c>
      <c r="T186" s="1129"/>
      <c r="U186" s="1129"/>
      <c r="W186" s="601"/>
      <c r="Y186" s="614"/>
    </row>
    <row r="187" spans="1:29" s="64" customFormat="1" ht="12" customHeight="1">
      <c r="A187" s="1886" t="s">
        <v>759</v>
      </c>
      <c r="B187" s="1887"/>
      <c r="C187" s="1887"/>
      <c r="D187" s="1887"/>
      <c r="E187" s="1887"/>
      <c r="F187" s="1887"/>
      <c r="G187" s="1887"/>
      <c r="H187" s="1887"/>
      <c r="I187" s="1888"/>
      <c r="J187" s="1889"/>
      <c r="K187" s="119"/>
      <c r="L187" s="120"/>
      <c r="M187" s="323" t="s">
        <v>913</v>
      </c>
      <c r="N187" s="47" t="s">
        <v>365</v>
      </c>
      <c r="O187" s="105" t="e">
        <f ca="1">U146</f>
        <v>#DIV/0!</v>
      </c>
      <c r="P187" s="392" t="s">
        <v>452</v>
      </c>
      <c r="Q187" s="106">
        <f>U147</f>
        <v>0</v>
      </c>
      <c r="R187" s="759" t="s">
        <v>378</v>
      </c>
      <c r="S187" s="78" t="e">
        <f ca="1">IF(O188&lt;&gt;"",O188,ROUND(O187,2))</f>
        <v>#DIV/0!</v>
      </c>
      <c r="T187" s="392" t="s">
        <v>452</v>
      </c>
      <c r="U187" s="106">
        <f>IF(Q188="",Q187,Q188)</f>
        <v>0</v>
      </c>
      <c r="W187" s="605" t="s">
        <v>914</v>
      </c>
      <c r="Y187" s="614"/>
    </row>
    <row r="188" spans="1:29" s="64" customFormat="1" ht="12" customHeight="1">
      <c r="A188" s="1890"/>
      <c r="B188" s="1891"/>
      <c r="C188" s="1891"/>
      <c r="D188" s="1891"/>
      <c r="E188" s="1891"/>
      <c r="F188" s="1891"/>
      <c r="G188" s="1891"/>
      <c r="H188" s="1891"/>
      <c r="I188" s="1892"/>
      <c r="J188" s="1893"/>
      <c r="K188" s="1155"/>
      <c r="L188" s="1156"/>
      <c r="M188" s="731" t="s">
        <v>573</v>
      </c>
      <c r="N188" s="759" t="s">
        <v>378</v>
      </c>
      <c r="O188" s="121"/>
      <c r="P188" s="392"/>
      <c r="Q188" s="1251"/>
      <c r="R188" s="392"/>
      <c r="S188" s="731"/>
      <c r="T188" s="107"/>
      <c r="U188" s="107"/>
      <c r="W188" s="601"/>
      <c r="Y188" s="614"/>
    </row>
    <row r="189" spans="1:29" s="64" customFormat="1" ht="12" customHeight="1">
      <c r="A189" s="1894"/>
      <c r="B189" s="1895"/>
      <c r="C189" s="1895"/>
      <c r="D189" s="1895"/>
      <c r="E189" s="1895"/>
      <c r="F189" s="1895"/>
      <c r="G189" s="1895"/>
      <c r="H189" s="1895"/>
      <c r="I189" s="1896"/>
      <c r="J189" s="1897"/>
      <c r="K189"/>
      <c r="L189"/>
      <c r="M189" s="1930" t="s">
        <v>915</v>
      </c>
      <c r="N189" s="1930"/>
      <c r="O189" s="1930"/>
      <c r="P189" s="1930"/>
      <c r="Q189" s="1930"/>
      <c r="R189" s="1930"/>
      <c r="S189" s="1930"/>
      <c r="T189" s="1930"/>
      <c r="U189" s="1930"/>
      <c r="W189" s="601"/>
      <c r="Y189" s="614"/>
    </row>
    <row r="190" spans="1:29" s="64" customFormat="1" ht="12" customHeight="1">
      <c r="A190" s="1354"/>
      <c r="B190" s="1354"/>
      <c r="C190" s="1354"/>
      <c r="D190" s="1354"/>
      <c r="E190" s="1354"/>
      <c r="F190" s="1354"/>
      <c r="G190" s="1354"/>
      <c r="H190" s="1354"/>
      <c r="I190" s="586"/>
      <c r="J190" s="586"/>
      <c r="K190"/>
      <c r="L190"/>
      <c r="M190" s="1930"/>
      <c r="N190" s="1930"/>
      <c r="O190" s="1930"/>
      <c r="P190" s="1930"/>
      <c r="Q190" s="1930"/>
      <c r="R190" s="1930"/>
      <c r="S190" s="1930"/>
      <c r="T190" s="1930"/>
      <c r="U190" s="1930"/>
      <c r="W190" s="1943" t="e">
        <f ca="1">IF(_Z4MG&gt;60,"Directional elements might not work properly if the Ground loop imp is greater than 100 ohms","")</f>
        <v>#DIV/0!</v>
      </c>
      <c r="X190" s="1943"/>
      <c r="Y190" s="1943"/>
      <c r="Z190" s="1943"/>
      <c r="AA190" s="1943"/>
      <c r="AB190" s="1943"/>
      <c r="AC190" s="1943"/>
    </row>
    <row r="191" spans="1:29" s="64" customFormat="1" ht="19.5" customHeight="1">
      <c r="A191" s="1073"/>
      <c r="B191" s="1073"/>
      <c r="C191" s="1073"/>
      <c r="D191" s="1073"/>
      <c r="E191" s="1073"/>
      <c r="F191" s="1073"/>
      <c r="G191" s="1073"/>
      <c r="H191" s="1073"/>
      <c r="I191" s="1073"/>
      <c r="J191" s="1073"/>
      <c r="K191" s="101"/>
      <c r="L191" s="71"/>
      <c r="M191" s="1930"/>
      <c r="N191" s="1930"/>
      <c r="O191" s="1930"/>
      <c r="P191" s="1930"/>
      <c r="Q191" s="1930"/>
      <c r="R191" s="1930"/>
      <c r="S191" s="1930"/>
      <c r="T191" s="1930"/>
      <c r="U191" s="1930"/>
      <c r="W191" s="1943"/>
      <c r="X191" s="1943"/>
      <c r="Y191" s="1943"/>
      <c r="Z191" s="1943"/>
      <c r="AA191" s="1943"/>
      <c r="AB191" s="1943"/>
      <c r="AC191" s="1943"/>
    </row>
    <row r="192" spans="1:29" s="64" customFormat="1" ht="12" customHeight="1">
      <c r="A192" s="1073"/>
      <c r="B192" s="1073"/>
      <c r="C192" s="1073"/>
      <c r="D192" s="1073"/>
      <c r="E192" s="1073"/>
      <c r="F192" s="1073"/>
      <c r="G192" s="1073"/>
      <c r="H192" s="1073"/>
      <c r="I192" s="1073"/>
      <c r="J192" s="1073"/>
      <c r="K192" s="101"/>
      <c r="L192" s="71"/>
      <c r="M192" s="1073"/>
      <c r="N192" s="1073"/>
      <c r="O192" s="1073"/>
      <c r="P192" s="1073"/>
      <c r="Q192" s="1073"/>
      <c r="R192" s="1073"/>
      <c r="S192" s="1073"/>
      <c r="T192" s="1073"/>
      <c r="U192" s="1073"/>
      <c r="W192" s="1943"/>
      <c r="X192" s="1943"/>
      <c r="Y192" s="1943"/>
      <c r="Z192" s="1943"/>
      <c r="AA192" s="1943"/>
      <c r="AB192" s="1943"/>
      <c r="AC192" s="1943"/>
    </row>
    <row r="193" spans="1:25" s="64" customFormat="1" ht="18" customHeight="1">
      <c r="A193" s="1928" t="s">
        <v>916</v>
      </c>
      <c r="B193" s="1928"/>
      <c r="C193" s="1928"/>
      <c r="D193" s="1928"/>
      <c r="E193" s="1928"/>
      <c r="F193" s="97"/>
      <c r="G193" s="97"/>
      <c r="H193" s="97"/>
      <c r="I193" s="97"/>
      <c r="J193" s="97"/>
      <c r="K193" s="101"/>
      <c r="L193" s="71"/>
      <c r="M193" s="1073"/>
      <c r="N193" s="1073"/>
      <c r="O193" s="1073"/>
      <c r="P193" s="1073"/>
      <c r="Q193" s="1073"/>
      <c r="R193" s="1073"/>
      <c r="S193" s="1073"/>
      <c r="T193" s="1073"/>
      <c r="U193" s="1073"/>
      <c r="W193" s="601"/>
      <c r="Y193" s="614"/>
    </row>
    <row r="194" spans="1:25" s="64" customFormat="1" ht="15" customHeight="1">
      <c r="A194" s="1926" t="s">
        <v>917</v>
      </c>
      <c r="B194" s="1926"/>
      <c r="C194" s="1926"/>
      <c r="D194" s="1926"/>
      <c r="E194" s="1926"/>
      <c r="F194" s="1926"/>
      <c r="G194" s="1926"/>
      <c r="H194" s="1926"/>
      <c r="I194" s="1926"/>
      <c r="J194" s="1926"/>
      <c r="K194" s="1926"/>
      <c r="L194" s="1926"/>
      <c r="M194" s="1926"/>
      <c r="N194" s="1926"/>
      <c r="O194" s="1926"/>
      <c r="P194" s="1926"/>
      <c r="Q194" s="1926"/>
      <c r="R194" s="1073"/>
      <c r="S194" s="1073"/>
      <c r="T194" s="1073"/>
      <c r="U194" s="1073"/>
      <c r="W194" s="601"/>
      <c r="Y194" s="614"/>
    </row>
    <row r="195" spans="1:25" s="64" customFormat="1" ht="12" customHeight="1">
      <c r="A195" s="1926"/>
      <c r="B195" s="1926"/>
      <c r="C195" s="1926"/>
      <c r="D195" s="1926"/>
      <c r="E195" s="1926"/>
      <c r="F195" s="1926"/>
      <c r="G195" s="1926"/>
      <c r="H195" s="1926"/>
      <c r="I195" s="1926"/>
      <c r="J195" s="1926"/>
      <c r="K195" s="1926"/>
      <c r="L195" s="1926"/>
      <c r="M195" s="1926"/>
      <c r="N195" s="1926"/>
      <c r="O195" s="1926"/>
      <c r="P195" s="1926"/>
      <c r="Q195" s="1926"/>
      <c r="R195" s="1073"/>
      <c r="S195" s="1073"/>
      <c r="T195" s="1073"/>
      <c r="U195" s="1073"/>
      <c r="W195" s="601"/>
      <c r="Y195" s="614"/>
    </row>
    <row r="196" spans="1:25" s="64" customFormat="1" ht="12" customHeight="1">
      <c r="A196" s="1926"/>
      <c r="B196" s="1926"/>
      <c r="C196" s="1926"/>
      <c r="D196" s="1926"/>
      <c r="E196" s="1926"/>
      <c r="F196" s="1926"/>
      <c r="G196" s="1926"/>
      <c r="H196" s="1926"/>
      <c r="I196" s="1926"/>
      <c r="J196" s="1926"/>
      <c r="K196" s="1926"/>
      <c r="L196" s="1926"/>
      <c r="M196" s="1926"/>
      <c r="N196" s="1926"/>
      <c r="O196" s="1926"/>
      <c r="P196" s="1926"/>
      <c r="Q196" s="1926"/>
      <c r="R196" s="1073"/>
      <c r="S196" s="1073"/>
      <c r="T196" s="1073"/>
      <c r="U196" s="1073"/>
      <c r="W196" s="601"/>
      <c r="Y196" s="614"/>
    </row>
    <row r="197" spans="1:25" s="64" customFormat="1" ht="12" customHeight="1">
      <c r="A197" s="1926"/>
      <c r="B197" s="1926"/>
      <c r="C197" s="1926"/>
      <c r="D197" s="1926"/>
      <c r="E197" s="1926"/>
      <c r="F197" s="1926"/>
      <c r="G197" s="1926"/>
      <c r="H197" s="1926"/>
      <c r="I197" s="1926"/>
      <c r="J197" s="1926"/>
      <c r="K197" s="1926"/>
      <c r="L197" s="1926"/>
      <c r="M197" s="1926"/>
      <c r="N197" s="1926"/>
      <c r="O197" s="1926"/>
      <c r="P197" s="1926"/>
      <c r="Q197" s="1926"/>
      <c r="R197" s="1073"/>
      <c r="S197" s="1073"/>
      <c r="T197" s="1073"/>
      <c r="U197" s="1073"/>
      <c r="W197" s="601"/>
      <c r="Y197" s="614"/>
    </row>
    <row r="198" spans="1:25" s="64" customFormat="1" ht="12" customHeight="1">
      <c r="A198" s="870" t="s">
        <v>918</v>
      </c>
      <c r="B198" s="745"/>
      <c r="C198" s="745"/>
      <c r="D198" s="745"/>
      <c r="E198" s="745"/>
      <c r="F198" s="745"/>
      <c r="G198" s="745"/>
      <c r="H198" s="745"/>
      <c r="I198" s="745"/>
      <c r="J198" s="745"/>
      <c r="K198" s="745"/>
      <c r="L198" s="745"/>
      <c r="M198" s="745"/>
      <c r="N198" s="745"/>
      <c r="O198" s="745"/>
      <c r="P198" s="745"/>
      <c r="Q198" s="745"/>
      <c r="R198" s="1073"/>
      <c r="S198" s="1073"/>
      <c r="T198" s="1073"/>
      <c r="U198" s="1073"/>
      <c r="W198" s="601"/>
      <c r="Y198" s="614"/>
    </row>
    <row r="199" spans="1:25" s="64" customFormat="1" ht="12" customHeight="1">
      <c r="A199" s="820" t="s">
        <v>919</v>
      </c>
      <c r="B199" s="1376"/>
      <c r="C199" s="1376"/>
      <c r="D199" s="1376"/>
      <c r="E199" s="1376"/>
      <c r="F199" s="1376"/>
      <c r="G199" s="1376"/>
      <c r="H199" s="1376"/>
      <c r="I199" s="1376"/>
      <c r="J199" s="1376"/>
      <c r="K199" s="1376"/>
      <c r="L199" s="1376"/>
      <c r="M199" s="1376"/>
      <c r="N199" s="1376"/>
      <c r="O199" s="1376"/>
      <c r="P199" s="1376"/>
      <c r="Q199" s="1376"/>
      <c r="R199" s="1073"/>
      <c r="S199" s="1073"/>
      <c r="T199" s="1073"/>
      <c r="U199" s="1073"/>
      <c r="W199" s="601"/>
      <c r="Y199" s="614"/>
    </row>
    <row r="200" spans="1:25" s="64" customFormat="1" ht="12" customHeight="1">
      <c r="A200" s="1926" t="s">
        <v>920</v>
      </c>
      <c r="B200" s="1926"/>
      <c r="C200" s="1926"/>
      <c r="D200" s="1926"/>
      <c r="E200" s="1926"/>
      <c r="F200" s="1926"/>
      <c r="G200" s="1926"/>
      <c r="H200" s="1926"/>
      <c r="I200" s="1926"/>
      <c r="J200" s="1926"/>
      <c r="K200" s="1926"/>
      <c r="L200" s="1926"/>
      <c r="M200" s="1926"/>
      <c r="N200" s="1926"/>
      <c r="O200" s="1926"/>
      <c r="P200" s="1926"/>
      <c r="Q200" s="1926"/>
      <c r="R200" s="1926"/>
      <c r="S200" s="1926"/>
      <c r="T200" s="1926"/>
      <c r="U200" s="1073"/>
      <c r="W200" s="601"/>
      <c r="Y200" s="614"/>
    </row>
    <row r="201" spans="1:25" s="64" customFormat="1" ht="12" customHeight="1">
      <c r="A201" s="1926"/>
      <c r="B201" s="1926"/>
      <c r="C201" s="1926"/>
      <c r="D201" s="1926"/>
      <c r="E201" s="1926"/>
      <c r="F201" s="1926"/>
      <c r="G201" s="1926"/>
      <c r="H201" s="1926"/>
      <c r="I201" s="1926"/>
      <c r="J201" s="1926"/>
      <c r="K201" s="1926"/>
      <c r="L201" s="1926"/>
      <c r="M201" s="1926"/>
      <c r="N201" s="1926"/>
      <c r="O201" s="1926"/>
      <c r="P201" s="1926"/>
      <c r="Q201" s="1926"/>
      <c r="R201" s="1926"/>
      <c r="S201" s="1926"/>
      <c r="T201" s="1926"/>
      <c r="U201" s="1073"/>
      <c r="W201" s="601"/>
      <c r="Y201" s="614"/>
    </row>
    <row r="202" spans="1:25" s="64" customFormat="1" ht="12" customHeight="1">
      <c r="A202" s="1926" t="s">
        <v>921</v>
      </c>
      <c r="B202" s="1926"/>
      <c r="C202" s="1926"/>
      <c r="D202" s="1926"/>
      <c r="E202" s="1926"/>
      <c r="F202" s="1926"/>
      <c r="G202" s="1926"/>
      <c r="H202" s="1926"/>
      <c r="I202" s="1926"/>
      <c r="J202" s="1926"/>
      <c r="K202" s="1926"/>
      <c r="L202" s="1926"/>
      <c r="M202" s="1926"/>
      <c r="N202" s="1926"/>
      <c r="O202" s="1926"/>
      <c r="P202" s="1926"/>
      <c r="Q202" s="1926"/>
      <c r="R202" s="1926"/>
      <c r="S202" s="1926"/>
      <c r="T202" s="1926"/>
      <c r="U202" s="1073"/>
      <c r="W202" s="601"/>
      <c r="Y202" s="614"/>
    </row>
    <row r="203" spans="1:25" s="64" customFormat="1" ht="12" customHeight="1">
      <c r="A203" s="1926"/>
      <c r="B203" s="1926"/>
      <c r="C203" s="1926"/>
      <c r="D203" s="1926"/>
      <c r="E203" s="1926"/>
      <c r="F203" s="1926"/>
      <c r="G203" s="1926"/>
      <c r="H203" s="1926"/>
      <c r="I203" s="1926"/>
      <c r="J203" s="1926"/>
      <c r="K203" s="1926"/>
      <c r="L203" s="1926"/>
      <c r="M203" s="1926"/>
      <c r="N203" s="1926"/>
      <c r="O203" s="1926"/>
      <c r="P203" s="1926"/>
      <c r="Q203" s="1926"/>
      <c r="R203" s="1926"/>
      <c r="S203" s="1926"/>
      <c r="T203" s="1926"/>
      <c r="U203" s="1073"/>
      <c r="W203" s="601"/>
      <c r="Y203" s="614"/>
    </row>
    <row r="204" spans="1:25" s="64" customFormat="1" ht="12" customHeight="1">
      <c r="A204" s="1926" t="s">
        <v>922</v>
      </c>
      <c r="B204" s="1926"/>
      <c r="C204" s="1926"/>
      <c r="D204" s="1926"/>
      <c r="E204" s="1926"/>
      <c r="F204" s="1926"/>
      <c r="G204" s="1926"/>
      <c r="H204" s="1926"/>
      <c r="I204" s="1926"/>
      <c r="J204" s="1926"/>
      <c r="K204" s="1926"/>
      <c r="L204" s="1926"/>
      <c r="M204" s="1926"/>
      <c r="N204" s="1926"/>
      <c r="O204" s="1926"/>
      <c r="P204" s="1926"/>
      <c r="Q204" s="1926"/>
      <c r="R204" s="1926"/>
      <c r="S204" s="1926"/>
      <c r="T204" s="1073"/>
      <c r="U204" s="1073"/>
      <c r="W204" s="601"/>
      <c r="Y204" s="614"/>
    </row>
    <row r="205" spans="1:25" s="64" customFormat="1" ht="12" customHeight="1">
      <c r="A205" s="1926"/>
      <c r="B205" s="1926"/>
      <c r="C205" s="1926"/>
      <c r="D205" s="1926"/>
      <c r="E205" s="1926"/>
      <c r="F205" s="1926"/>
      <c r="G205" s="1926"/>
      <c r="H205" s="1926"/>
      <c r="I205" s="1926"/>
      <c r="J205" s="1926"/>
      <c r="K205" s="1926"/>
      <c r="L205" s="1926"/>
      <c r="M205" s="1926"/>
      <c r="N205" s="1926"/>
      <c r="O205" s="1926"/>
      <c r="P205" s="1926"/>
      <c r="Q205" s="1926"/>
      <c r="R205" s="1926"/>
      <c r="S205" s="1926"/>
      <c r="T205" s="1073"/>
      <c r="U205" s="1073"/>
      <c r="W205" s="601"/>
      <c r="Y205" s="614"/>
    </row>
    <row r="206" spans="1:25" s="64" customFormat="1" ht="17.25" customHeight="1">
      <c r="A206" s="1926"/>
      <c r="B206" s="1926"/>
      <c r="C206" s="1926"/>
      <c r="D206" s="1926"/>
      <c r="E206" s="1926"/>
      <c r="F206" s="1926"/>
      <c r="G206" s="1926"/>
      <c r="H206" s="1926"/>
      <c r="I206" s="1926"/>
      <c r="J206" s="1926"/>
      <c r="K206" s="1926"/>
      <c r="L206" s="1926"/>
      <c r="M206" s="1926"/>
      <c r="N206" s="1926"/>
      <c r="O206" s="1926"/>
      <c r="P206" s="1926"/>
      <c r="Q206" s="1926"/>
      <c r="R206" s="1926"/>
      <c r="S206" s="1926"/>
      <c r="T206" s="1073"/>
      <c r="U206" s="1073"/>
      <c r="W206" s="601"/>
      <c r="Y206" s="614"/>
    </row>
    <row r="207" spans="1:25" s="64" customFormat="1" ht="12" customHeight="1">
      <c r="A207" s="1926" t="s">
        <v>923</v>
      </c>
      <c r="B207" s="1926"/>
      <c r="C207" s="1926"/>
      <c r="D207" s="1926"/>
      <c r="E207" s="1926"/>
      <c r="F207" s="1926"/>
      <c r="G207" s="1926"/>
      <c r="H207" s="1926"/>
      <c r="I207" s="1926"/>
      <c r="J207" s="1926"/>
      <c r="K207" s="1926"/>
      <c r="L207" s="1926"/>
      <c r="M207" s="1926"/>
      <c r="N207" s="1926"/>
      <c r="O207" s="1926"/>
      <c r="P207" s="1926"/>
      <c r="Q207" s="1926"/>
      <c r="R207" s="1926"/>
      <c r="S207" s="1926"/>
      <c r="T207" s="1073"/>
      <c r="U207" s="1073"/>
      <c r="W207" s="601"/>
      <c r="Y207" s="614"/>
    </row>
    <row r="208" spans="1:25" s="64" customFormat="1" ht="12" customHeight="1">
      <c r="A208" s="1926"/>
      <c r="B208" s="1926"/>
      <c r="C208" s="1926"/>
      <c r="D208" s="1926"/>
      <c r="E208" s="1926"/>
      <c r="F208" s="1926"/>
      <c r="G208" s="1926"/>
      <c r="H208" s="1926"/>
      <c r="I208" s="1926"/>
      <c r="J208" s="1926"/>
      <c r="K208" s="1926"/>
      <c r="L208" s="1926"/>
      <c r="M208" s="1926"/>
      <c r="N208" s="1926"/>
      <c r="O208" s="1926"/>
      <c r="P208" s="1926"/>
      <c r="Q208" s="1926"/>
      <c r="R208" s="1926"/>
      <c r="S208" s="1926"/>
      <c r="T208" s="1073"/>
      <c r="U208" s="1073"/>
      <c r="W208" s="601"/>
      <c r="Y208" s="614"/>
    </row>
    <row r="209" spans="1:25" s="64" customFormat="1" ht="12" customHeight="1">
      <c r="A209" s="1926"/>
      <c r="B209" s="1926"/>
      <c r="C209" s="1926"/>
      <c r="D209" s="1926"/>
      <c r="E209" s="1926"/>
      <c r="F209" s="1926"/>
      <c r="G209" s="1926"/>
      <c r="H209" s="1926"/>
      <c r="I209" s="1926"/>
      <c r="J209" s="1926"/>
      <c r="K209" s="1926"/>
      <c r="L209" s="1926"/>
      <c r="M209" s="1926"/>
      <c r="N209" s="1926"/>
      <c r="O209" s="1926"/>
      <c r="P209" s="1926"/>
      <c r="Q209" s="1926"/>
      <c r="R209" s="1926"/>
      <c r="S209" s="1926"/>
      <c r="T209" s="1073"/>
      <c r="U209" s="1073"/>
      <c r="W209" s="601"/>
      <c r="Y209" s="614"/>
    </row>
    <row r="210" spans="1:25" s="64" customFormat="1" ht="12" customHeight="1">
      <c r="A210" s="1926"/>
      <c r="B210" s="1926"/>
      <c r="C210" s="1926"/>
      <c r="D210" s="1926"/>
      <c r="E210" s="1926"/>
      <c r="F210" s="1926"/>
      <c r="G210" s="1926"/>
      <c r="H210" s="1926"/>
      <c r="I210" s="1926"/>
      <c r="J210" s="1926"/>
      <c r="K210" s="1926"/>
      <c r="L210" s="1926"/>
      <c r="M210" s="1926"/>
      <c r="N210" s="1926"/>
      <c r="O210" s="1926"/>
      <c r="P210" s="1926"/>
      <c r="Q210" s="1926"/>
      <c r="R210" s="1926"/>
      <c r="S210" s="1926"/>
      <c r="T210" s="1073"/>
      <c r="U210" s="1073"/>
      <c r="W210" s="601"/>
      <c r="Y210" s="614"/>
    </row>
    <row r="211" spans="1:25" s="64" customFormat="1" ht="12" customHeight="1">
      <c r="A211" s="1926"/>
      <c r="B211" s="1926"/>
      <c r="C211" s="1926"/>
      <c r="D211" s="1926"/>
      <c r="E211" s="1926"/>
      <c r="F211" s="1926"/>
      <c r="G211" s="1926"/>
      <c r="H211" s="1926"/>
      <c r="I211" s="1926"/>
      <c r="J211" s="1926"/>
      <c r="K211" s="1926"/>
      <c r="L211" s="1926"/>
      <c r="M211" s="1926"/>
      <c r="N211" s="1926"/>
      <c r="O211" s="1926"/>
      <c r="P211" s="1926"/>
      <c r="Q211" s="1926"/>
      <c r="R211" s="1926"/>
      <c r="S211" s="1926"/>
      <c r="T211" s="1073"/>
      <c r="U211" s="1073"/>
      <c r="W211" s="601"/>
      <c r="Y211" s="614"/>
    </row>
    <row r="212" spans="1:25" s="64" customFormat="1" ht="12" customHeight="1">
      <c r="A212" s="1073"/>
      <c r="B212" s="1073"/>
      <c r="C212" s="1073"/>
      <c r="D212" s="1073"/>
      <c r="E212" s="1073"/>
      <c r="F212" s="1073"/>
      <c r="G212" s="1073"/>
      <c r="H212" s="1073"/>
      <c r="I212" s="1073"/>
      <c r="J212" s="1073"/>
      <c r="K212" s="101"/>
      <c r="L212" s="71"/>
      <c r="M212" s="1073"/>
      <c r="N212" s="1073"/>
      <c r="O212" s="1073"/>
      <c r="P212" s="1073"/>
      <c r="Q212" s="1073"/>
      <c r="R212" s="1073"/>
      <c r="S212" s="1073"/>
      <c r="T212" s="1073"/>
      <c r="U212" s="1073"/>
      <c r="W212" s="606" t="s">
        <v>924</v>
      </c>
      <c r="X212" s="1073"/>
      <c r="Y212" s="614"/>
    </row>
    <row r="213" spans="1:25" s="64" customFormat="1" ht="12" customHeight="1">
      <c r="A213" s="1073"/>
      <c r="B213" s="1073"/>
      <c r="C213" s="188"/>
      <c r="D213" s="1381" t="s">
        <v>925</v>
      </c>
      <c r="E213" s="408">
        <v>0.94299999999999995</v>
      </c>
      <c r="F213" s="188" t="s">
        <v>86</v>
      </c>
      <c r="G213" s="1931" t="s">
        <v>926</v>
      </c>
      <c r="H213" s="1931"/>
      <c r="I213" s="1931"/>
      <c r="J213" s="1931"/>
      <c r="K213" s="1931"/>
      <c r="L213" s="188"/>
      <c r="M213" s="188"/>
      <c r="P213" s="1073"/>
      <c r="Q213" s="1073"/>
      <c r="R213" s="1073"/>
      <c r="S213" s="1073"/>
      <c r="T213" s="1073"/>
      <c r="U213" s="1073"/>
      <c r="W213" s="600"/>
      <c r="X213" s="1073"/>
      <c r="Y213" s="614"/>
    </row>
    <row r="214" spans="1:25" s="64" customFormat="1" ht="12" customHeight="1">
      <c r="A214" s="1073"/>
      <c r="B214" s="1073"/>
      <c r="C214" s="188"/>
      <c r="E214" s="202"/>
      <c r="F214" s="199"/>
      <c r="G214" s="1931"/>
      <c r="H214" s="1931"/>
      <c r="I214" s="1931"/>
      <c r="J214" s="1931"/>
      <c r="K214" s="1931"/>
      <c r="L214" s="188"/>
      <c r="M214" s="188"/>
      <c r="P214" s="1073"/>
      <c r="Q214" s="1073"/>
      <c r="R214" s="1073"/>
      <c r="S214" s="1073"/>
      <c r="T214" s="1073"/>
      <c r="U214" s="1073"/>
      <c r="W214" s="606" t="s">
        <v>927</v>
      </c>
      <c r="X214" s="1073"/>
      <c r="Y214" s="614"/>
    </row>
    <row r="215" spans="1:25" s="64" customFormat="1" ht="12" customHeight="1">
      <c r="A215" s="1073"/>
      <c r="B215" s="1073"/>
      <c r="C215" s="188"/>
      <c r="D215" s="1381" t="s">
        <v>928</v>
      </c>
      <c r="E215" s="1058">
        <f>IFERROR(VLOOKUP("IMPEDANCE ANALYSIS INFORMATION ; min voltage value for Test 13 (PU):",SDA_TABLE[#All],7,FALSE),"")</f>
        <v>0</v>
      </c>
      <c r="F215" s="351" t="s">
        <v>86</v>
      </c>
      <c r="G215" s="1925" t="s">
        <v>929</v>
      </c>
      <c r="H215" s="1925"/>
      <c r="I215" s="1925"/>
      <c r="J215" s="1925"/>
      <c r="K215" s="1925"/>
      <c r="L215" s="1925"/>
      <c r="M215" s="1925"/>
      <c r="N215" s="1925"/>
      <c r="O215" s="1925"/>
      <c r="P215" s="1925"/>
      <c r="Q215" s="1925"/>
      <c r="R215" s="1925"/>
      <c r="S215" s="1925"/>
      <c r="T215" s="1073"/>
      <c r="U215" s="1073"/>
      <c r="W215" s="606"/>
      <c r="X215" s="1073"/>
      <c r="Y215" s="614"/>
    </row>
    <row r="216" spans="1:25" s="64" customFormat="1" ht="12" customHeight="1">
      <c r="A216" s="1073"/>
      <c r="B216" s="1073"/>
      <c r="C216" s="188"/>
      <c r="D216" s="188"/>
      <c r="E216" s="202"/>
      <c r="F216" s="199"/>
      <c r="G216" s="1925"/>
      <c r="H216" s="1925"/>
      <c r="I216" s="1925"/>
      <c r="J216" s="1925"/>
      <c r="K216" s="1925"/>
      <c r="L216" s="1925"/>
      <c r="M216" s="1925"/>
      <c r="N216" s="1925"/>
      <c r="O216" s="1925"/>
      <c r="P216" s="1925"/>
      <c r="Q216" s="1925"/>
      <c r="R216" s="1925"/>
      <c r="S216" s="1925"/>
      <c r="T216" s="1073"/>
      <c r="U216" s="1073"/>
      <c r="W216" s="606"/>
      <c r="X216" s="1073"/>
      <c r="Y216" s="614"/>
    </row>
    <row r="217" spans="1:25" s="64" customFormat="1" ht="12" customHeight="1">
      <c r="A217" s="1073"/>
      <c r="B217" s="1073"/>
      <c r="C217" s="188"/>
      <c r="D217" s="1381" t="s">
        <v>930</v>
      </c>
      <c r="E217" s="1058">
        <f>IFERROR(VLOOKUP("IMPEDANCE ANALYSIS INFORMATION ; min voltage value for Test 14 (PU):",SDA_TABLE[#All],7,FALSE),"")</f>
        <v>0</v>
      </c>
      <c r="F217" s="351" t="s">
        <v>86</v>
      </c>
      <c r="G217" s="1925" t="s">
        <v>931</v>
      </c>
      <c r="H217" s="1925"/>
      <c r="I217" s="1925"/>
      <c r="J217" s="1925"/>
      <c r="K217" s="1925"/>
      <c r="L217" s="1925"/>
      <c r="M217" s="1925"/>
      <c r="N217" s="1925"/>
      <c r="O217" s="1925"/>
      <c r="P217" s="1925"/>
      <c r="Q217" s="1925"/>
      <c r="R217" s="1925"/>
      <c r="S217" s="1925"/>
      <c r="T217" s="1073"/>
      <c r="U217" s="1073"/>
      <c r="W217" s="606"/>
      <c r="X217" s="1073"/>
      <c r="Y217" s="614"/>
    </row>
    <row r="218" spans="1:25" s="64" customFormat="1" ht="12" customHeight="1">
      <c r="A218" s="1073"/>
      <c r="B218" s="1073"/>
      <c r="C218" s="188"/>
      <c r="D218" s="188"/>
      <c r="E218" s="202"/>
      <c r="F218" s="199"/>
      <c r="G218" s="1925"/>
      <c r="H218" s="1925"/>
      <c r="I218" s="1925"/>
      <c r="J218" s="1925"/>
      <c r="K218" s="1925"/>
      <c r="L218" s="1925"/>
      <c r="M218" s="1925"/>
      <c r="N218" s="1925"/>
      <c r="O218" s="1925"/>
      <c r="P218" s="1925"/>
      <c r="Q218" s="1925"/>
      <c r="R218" s="1925"/>
      <c r="S218" s="1925"/>
      <c r="T218" s="1073"/>
      <c r="U218" s="1073"/>
      <c r="W218" s="606"/>
      <c r="X218" s="1073"/>
      <c r="Y218" s="614"/>
    </row>
    <row r="219" spans="1:25" s="64" customFormat="1" ht="12" customHeight="1">
      <c r="A219" s="1073"/>
      <c r="B219" s="1073"/>
      <c r="C219" s="188"/>
      <c r="D219" s="1381" t="s">
        <v>932</v>
      </c>
      <c r="E219" s="1058">
        <f>IFERROR(VLOOKUP("IMPEDANCE ANALYSIS INFORMATION ; min voltage value for Test 15 (PU):",SDA_TABLE[#All],7,FALSE),"")</f>
        <v>0</v>
      </c>
      <c r="F219" s="351" t="s">
        <v>86</v>
      </c>
      <c r="G219" s="1925" t="s">
        <v>933</v>
      </c>
      <c r="H219" s="1925"/>
      <c r="I219" s="1925"/>
      <c r="J219" s="1925"/>
      <c r="K219" s="1925"/>
      <c r="L219" s="1925"/>
      <c r="M219" s="1925"/>
      <c r="N219" s="1925"/>
      <c r="O219" s="1925"/>
      <c r="P219" s="1925"/>
      <c r="Q219" s="1925"/>
      <c r="R219" s="1925"/>
      <c r="S219" s="1925"/>
      <c r="T219" s="1073"/>
      <c r="U219" s="1073"/>
      <c r="W219" s="606"/>
      <c r="X219" s="1073"/>
      <c r="Y219" s="614"/>
    </row>
    <row r="220" spans="1:25" s="64" customFormat="1" ht="12" customHeight="1">
      <c r="A220" s="1073"/>
      <c r="B220" s="1073"/>
      <c r="C220" s="188"/>
      <c r="D220" s="188"/>
      <c r="E220" s="202"/>
      <c r="F220" s="199"/>
      <c r="G220" s="1925"/>
      <c r="H220" s="1925"/>
      <c r="I220" s="1925"/>
      <c r="J220" s="1925"/>
      <c r="K220" s="1925"/>
      <c r="L220" s="1925"/>
      <c r="M220" s="1925"/>
      <c r="N220" s="1925"/>
      <c r="O220" s="1925"/>
      <c r="P220" s="1925"/>
      <c r="Q220" s="1925"/>
      <c r="R220" s="1925"/>
      <c r="S220" s="1925"/>
      <c r="T220" s="1073"/>
      <c r="U220" s="1073"/>
      <c r="W220" s="606"/>
      <c r="X220" s="1073"/>
      <c r="Y220" s="614"/>
    </row>
    <row r="221" spans="1:25" s="64" customFormat="1" ht="27" customHeight="1">
      <c r="A221" s="1836" t="s">
        <v>934</v>
      </c>
      <c r="B221" s="1836"/>
      <c r="C221" s="1836"/>
      <c r="D221" s="1927"/>
      <c r="E221" s="410">
        <f>E213-0.15</f>
        <v>0.79299999999999993</v>
      </c>
      <c r="F221" s="680" t="s">
        <v>86</v>
      </c>
      <c r="G221"/>
      <c r="H221" s="188"/>
      <c r="I221" s="350"/>
      <c r="J221" s="188"/>
      <c r="K221" s="188"/>
      <c r="L221" s="188"/>
      <c r="M221" s="188"/>
      <c r="P221" s="1073"/>
      <c r="Q221" s="199"/>
      <c r="R221" s="1073"/>
      <c r="S221" s="199"/>
      <c r="T221" s="1073"/>
      <c r="U221" s="1073"/>
      <c r="W221" s="606" t="s">
        <v>935</v>
      </c>
      <c r="X221" s="1073"/>
      <c r="Y221" s="614"/>
    </row>
    <row r="222" spans="1:25" s="64" customFormat="1" ht="12" customHeight="1">
      <c r="A222" s="1073"/>
      <c r="B222" s="1073"/>
      <c r="C222" s="188"/>
      <c r="D222" s="1381" t="s">
        <v>936</v>
      </c>
      <c r="E222" s="409"/>
      <c r="F222" s="680" t="s">
        <v>86</v>
      </c>
      <c r="G222" s="722"/>
      <c r="H222" s="351"/>
      <c r="I222" s="402"/>
      <c r="J222" s="188"/>
      <c r="K222" s="188"/>
      <c r="L222" s="188"/>
      <c r="M222" s="188"/>
      <c r="P222" s="1073"/>
      <c r="Q222" s="1073"/>
      <c r="R222" s="722" t="s">
        <v>937</v>
      </c>
      <c r="S222" s="78" t="e">
        <f ca="1">ROUND(E224*G224,2)</f>
        <v>#DIV/0!</v>
      </c>
      <c r="T222" s="1073"/>
      <c r="U222" s="1073"/>
      <c r="W222" s="601"/>
      <c r="Y222" s="614"/>
    </row>
    <row r="223" spans="1:25" s="64" customFormat="1" ht="12" customHeight="1">
      <c r="A223" s="1073"/>
      <c r="B223" s="1073"/>
      <c r="C223" s="1073"/>
      <c r="D223" s="1073"/>
      <c r="E223" s="1073"/>
      <c r="F223" s="1073"/>
      <c r="G223" s="1073"/>
      <c r="H223" s="1073"/>
      <c r="I223" s="1073"/>
      <c r="J223" s="1073"/>
      <c r="K223" s="101"/>
      <c r="L223" s="71"/>
      <c r="M223" s="1073"/>
      <c r="N223" s="1073"/>
      <c r="O223" s="1073"/>
      <c r="P223" s="1073"/>
      <c r="Q223" s="1073"/>
      <c r="R223" s="722" t="s">
        <v>938</v>
      </c>
      <c r="S223" s="758">
        <f>E225</f>
        <v>10</v>
      </c>
      <c r="T223" s="1073"/>
      <c r="U223" s="1073"/>
      <c r="W223" s="601"/>
      <c r="Y223" s="614"/>
    </row>
    <row r="224" spans="1:25" s="64" customFormat="1" ht="12" customHeight="1">
      <c r="A224" s="1073"/>
      <c r="B224" s="1073"/>
      <c r="C224" s="403"/>
      <c r="D224" s="722" t="s">
        <v>939</v>
      </c>
      <c r="E224" s="852">
        <f>IF(E222="",E221,E222)</f>
        <v>0.79299999999999993</v>
      </c>
      <c r="F224" s="392" t="s">
        <v>349</v>
      </c>
      <c r="G224" s="387" t="e">
        <f ca="1">E5*1000/PTR/SQRT(3)</f>
        <v>#DIV/0!</v>
      </c>
      <c r="H224" s="900" t="s">
        <v>365</v>
      </c>
      <c r="I224" s="188"/>
      <c r="J224" s="1261" t="e">
        <f ca="1">E224*G224</f>
        <v>#DIV/0!</v>
      </c>
      <c r="K224" s="680" t="s">
        <v>940</v>
      </c>
      <c r="L224" s="188"/>
      <c r="M224" s="188"/>
      <c r="N224" s="188"/>
      <c r="P224" s="1073"/>
      <c r="Q224" s="1073"/>
      <c r="R224" s="1073"/>
      <c r="S224" s="1073"/>
      <c r="T224" s="1073"/>
      <c r="U224" s="1073"/>
      <c r="W224" s="600" t="s">
        <v>941</v>
      </c>
      <c r="Y224" s="614"/>
    </row>
    <row r="225" spans="1:25" s="64" customFormat="1" ht="12" customHeight="1">
      <c r="A225" s="1073"/>
      <c r="B225" s="1073"/>
      <c r="C225"/>
      <c r="D225" s="722" t="s">
        <v>942</v>
      </c>
      <c r="E225" s="851">
        <v>10</v>
      </c>
      <c r="F225" s="670" t="s">
        <v>940</v>
      </c>
      <c r="G225"/>
      <c r="H225"/>
      <c r="I225"/>
      <c r="J225"/>
      <c r="K225"/>
      <c r="L225"/>
      <c r="M225"/>
      <c r="N225" s="188"/>
      <c r="P225" s="1073"/>
      <c r="Q225" s="199"/>
      <c r="R225" s="722" t="s">
        <v>943</v>
      </c>
      <c r="S225" s="1932" t="str">
        <f xml:space="preserve"> "PSV05 := VAFIM &lt; PMV10 OR VBFIM &lt;  PMV10 OR VCFIM &lt; PMV10 OR 3V0FIM &gt;  PMV11"</f>
        <v>PSV05 := VAFIM &lt; PMV10 OR VBFIM &lt;  PMV10 OR VCFIM &lt; PMV10 OR 3V0FIM &gt;  PMV11</v>
      </c>
      <c r="T225" s="1933"/>
      <c r="U225" s="1934"/>
      <c r="V225" s="1262"/>
      <c r="W225" s="600" t="s">
        <v>944</v>
      </c>
      <c r="Y225" s="614"/>
    </row>
    <row r="226" spans="1:25" s="64" customFormat="1" ht="18" customHeight="1">
      <c r="A226" s="1886" t="s">
        <v>945</v>
      </c>
      <c r="B226" s="1887"/>
      <c r="C226" s="1887"/>
      <c r="D226" s="1887"/>
      <c r="E226" s="1887"/>
      <c r="F226" s="1887"/>
      <c r="G226" s="1887"/>
      <c r="H226" s="1887"/>
      <c r="I226" s="1887"/>
      <c r="J226" s="1887"/>
      <c r="K226" s="1887"/>
      <c r="L226" s="1887"/>
      <c r="M226" s="1904"/>
      <c r="N226" s="188"/>
      <c r="P226" s="1073"/>
      <c r="Q226" s="670" t="s">
        <v>946</v>
      </c>
      <c r="S226" s="1935"/>
      <c r="T226" s="1936"/>
      <c r="U226" s="1937"/>
      <c r="V226" s="1262"/>
      <c r="W226" s="600" t="s">
        <v>947</v>
      </c>
      <c r="Y226" s="614"/>
    </row>
    <row r="227" spans="1:25" s="64" customFormat="1" ht="30" customHeight="1">
      <c r="A227" s="1890"/>
      <c r="B227" s="1891"/>
      <c r="C227" s="1891"/>
      <c r="D227" s="1891"/>
      <c r="E227" s="1891"/>
      <c r="F227" s="1891"/>
      <c r="G227" s="1891"/>
      <c r="H227" s="1891"/>
      <c r="I227" s="1891"/>
      <c r="J227" s="1891"/>
      <c r="K227" s="1891"/>
      <c r="L227" s="1891"/>
      <c r="M227" s="1905"/>
      <c r="N227"/>
      <c r="P227" s="1073"/>
      <c r="Q227" s="199"/>
      <c r="S227" s="1938"/>
      <c r="T227" s="1939"/>
      <c r="U227" s="1940"/>
      <c r="V227" s="1262"/>
      <c r="W227" s="606"/>
      <c r="Y227" s="614"/>
    </row>
    <row r="228" spans="1:25" s="64" customFormat="1" ht="12" customHeight="1">
      <c r="A228" s="1890"/>
      <c r="B228" s="1891"/>
      <c r="C228" s="1891"/>
      <c r="D228" s="1891"/>
      <c r="E228" s="1891"/>
      <c r="F228" s="1891"/>
      <c r="G228" s="1891"/>
      <c r="H228" s="1891"/>
      <c r="I228" s="1891"/>
      <c r="J228" s="1891"/>
      <c r="K228" s="1891"/>
      <c r="L228" s="1891"/>
      <c r="M228" s="1905"/>
      <c r="N228"/>
      <c r="P228" s="1073"/>
      <c r="Q228" s="199"/>
      <c r="W228" s="606"/>
      <c r="Y228" s="614"/>
    </row>
    <row r="229" spans="1:25" s="64" customFormat="1" ht="12" customHeight="1">
      <c r="A229" s="1890"/>
      <c r="B229" s="1891"/>
      <c r="C229" s="1891"/>
      <c r="D229" s="1891"/>
      <c r="E229" s="1891"/>
      <c r="F229" s="1891"/>
      <c r="G229" s="1891"/>
      <c r="H229" s="1891"/>
      <c r="I229" s="1891"/>
      <c r="J229" s="1891"/>
      <c r="K229" s="1891"/>
      <c r="L229" s="1891"/>
      <c r="M229" s="1905"/>
      <c r="N229" s="188"/>
      <c r="P229" s="1073"/>
      <c r="Q229" s="199"/>
      <c r="S229" s="348" t="s">
        <v>948</v>
      </c>
      <c r="U229" s="758" t="e">
        <f ca="1">J224</f>
        <v>#DIV/0!</v>
      </c>
      <c r="V229" s="757"/>
      <c r="W229" s="600" t="s">
        <v>949</v>
      </c>
      <c r="Y229" s="614"/>
    </row>
    <row r="230" spans="1:25" s="64" customFormat="1" ht="12" customHeight="1">
      <c r="A230" s="1890"/>
      <c r="B230" s="1891"/>
      <c r="C230" s="1891"/>
      <c r="D230" s="1891"/>
      <c r="E230" s="1891"/>
      <c r="F230" s="1891"/>
      <c r="G230" s="1891"/>
      <c r="H230" s="1891"/>
      <c r="I230" s="1891"/>
      <c r="J230" s="1891"/>
      <c r="K230" s="1891"/>
      <c r="L230" s="1891"/>
      <c r="M230" s="1905"/>
      <c r="N230" s="188"/>
      <c r="P230" s="1073"/>
      <c r="Q230" s="199"/>
      <c r="S230" s="348" t="s">
        <v>950</v>
      </c>
      <c r="U230" s="758">
        <f>E225</f>
        <v>10</v>
      </c>
      <c r="V230" s="757"/>
      <c r="W230" s="600" t="s">
        <v>951</v>
      </c>
      <c r="Y230" s="614"/>
    </row>
    <row r="231" spans="1:25" s="64" customFormat="1" ht="12" customHeight="1">
      <c r="A231" s="1894"/>
      <c r="B231" s="1895"/>
      <c r="C231" s="1895"/>
      <c r="D231" s="1895"/>
      <c r="E231" s="1895"/>
      <c r="F231" s="1895"/>
      <c r="G231" s="1895"/>
      <c r="H231" s="1895"/>
      <c r="I231" s="1895"/>
      <c r="J231" s="1895"/>
      <c r="K231" s="1895"/>
      <c r="L231" s="1895"/>
      <c r="M231" s="1906"/>
      <c r="N231"/>
      <c r="P231" s="1073"/>
      <c r="Q231" s="1073"/>
      <c r="R231" s="1073"/>
      <c r="S231" s="1073"/>
      <c r="T231" s="1073"/>
      <c r="U231" s="1073"/>
      <c r="Y231" s="614"/>
    </row>
    <row r="232" spans="1:25" s="64" customFormat="1" ht="12" customHeight="1">
      <c r="A232" s="61"/>
      <c r="B232" s="79"/>
      <c r="C232" s="79"/>
      <c r="D232" s="58"/>
      <c r="E232" s="59"/>
      <c r="F232" s="60"/>
      <c r="G232" s="125"/>
      <c r="H232" s="58"/>
      <c r="I232" s="61"/>
      <c r="J232" s="1229"/>
      <c r="K232" s="62"/>
      <c r="L232" s="61"/>
      <c r="M232" s="61"/>
      <c r="N232" s="61"/>
      <c r="O232" s="61"/>
      <c r="P232" s="61"/>
      <c r="Q232" s="61"/>
      <c r="R232" s="61"/>
      <c r="S232" s="61"/>
      <c r="T232" s="61"/>
      <c r="U232" s="62"/>
      <c r="V232"/>
      <c r="W232" s="601"/>
      <c r="Y232" s="614"/>
    </row>
    <row r="233" spans="1:25" s="64" customFormat="1" ht="12" customHeight="1">
      <c r="A233" s="934" t="s">
        <v>952</v>
      </c>
      <c r="B233" s="936"/>
      <c r="C233" s="936"/>
      <c r="D233" s="937"/>
      <c r="E233" s="127" t="s">
        <v>729</v>
      </c>
      <c r="F233" s="86"/>
      <c r="G233" s="1263" t="s">
        <v>953</v>
      </c>
      <c r="H233" s="85"/>
      <c r="J233" s="1232"/>
      <c r="K233" s="89"/>
      <c r="U233" s="89"/>
      <c r="V233"/>
      <c r="W233" s="601"/>
      <c r="Y233" s="614"/>
    </row>
    <row r="234" spans="1:25" s="64" customFormat="1" ht="12" customHeight="1">
      <c r="A234" s="871" t="s">
        <v>191</v>
      </c>
      <c r="B234" s="84"/>
      <c r="C234" s="84"/>
      <c r="D234" s="85"/>
      <c r="E234" s="129"/>
      <c r="F234" s="86"/>
      <c r="G234" s="1264"/>
      <c r="H234" s="85"/>
      <c r="J234" s="1232"/>
      <c r="K234" s="89"/>
      <c r="U234" s="89"/>
      <c r="V234"/>
      <c r="W234" s="601"/>
      <c r="Y234" s="614"/>
    </row>
    <row r="235" spans="1:25" s="64" customFormat="1" ht="12" customHeight="1">
      <c r="A235" s="871"/>
      <c r="B235" s="84"/>
      <c r="C235" s="84"/>
      <c r="D235" s="85"/>
      <c r="E235" s="129"/>
      <c r="F235" s="86"/>
      <c r="G235" s="1264"/>
      <c r="H235" s="85"/>
      <c r="J235" s="1232"/>
      <c r="K235" s="89"/>
      <c r="U235" s="89"/>
      <c r="V235"/>
      <c r="W235" s="601"/>
      <c r="Y235" s="614"/>
    </row>
    <row r="236" spans="1:25" s="64" customFormat="1" ht="12" customHeight="1">
      <c r="A236" s="871"/>
      <c r="B236" s="84"/>
      <c r="C236" s="84"/>
      <c r="D236" s="85"/>
      <c r="E236" s="913" t="s">
        <v>954</v>
      </c>
      <c r="F236" s="697" t="s">
        <v>365</v>
      </c>
      <c r="G236" s="914" t="s">
        <v>955</v>
      </c>
      <c r="H236" s="85"/>
      <c r="I236" s="1942" t="s">
        <v>956</v>
      </c>
      <c r="J236" s="1942"/>
      <c r="K236" s="1942"/>
      <c r="L236" s="1942"/>
      <c r="M236" s="1942"/>
      <c r="N236" s="1942"/>
      <c r="O236" s="1942"/>
      <c r="P236" s="1942"/>
      <c r="Q236" s="1942"/>
      <c r="R236" s="1942"/>
      <c r="S236" s="1942"/>
      <c r="T236" s="1942"/>
      <c r="U236" s="1942"/>
      <c r="V236" s="1942"/>
      <c r="W236" s="1942"/>
      <c r="Y236" s="614"/>
    </row>
    <row r="237" spans="1:25" ht="12" customHeight="1">
      <c r="A237" s="84"/>
      <c r="B237" s="85"/>
      <c r="C237" s="129"/>
      <c r="D237" s="86"/>
      <c r="E237" s="128"/>
      <c r="F237" s="85"/>
      <c r="G237" s="64"/>
      <c r="H237" s="1232"/>
      <c r="I237" s="1942"/>
      <c r="J237" s="1942"/>
      <c r="K237" s="1942"/>
      <c r="L237" s="1942"/>
      <c r="M237" s="1942"/>
      <c r="N237" s="1942"/>
      <c r="O237" s="1942"/>
      <c r="P237" s="1942"/>
      <c r="Q237" s="1942"/>
      <c r="R237" s="1942"/>
      <c r="S237" s="1942"/>
      <c r="T237" s="1942"/>
      <c r="U237" s="1942"/>
      <c r="V237" s="1942"/>
      <c r="W237" s="1942"/>
      <c r="Y237" s="613"/>
    </row>
    <row r="238" spans="1:25" ht="12" customHeight="1" thickBot="1">
      <c r="A238" s="277" t="s">
        <v>957</v>
      </c>
      <c r="B238" s="362" t="s">
        <v>365</v>
      </c>
      <c r="C238" s="74">
        <v>1.5</v>
      </c>
      <c r="D238" s="37" t="s">
        <v>769</v>
      </c>
      <c r="E238" s="933">
        <f>'1) Data Entry'!E284:F284</f>
        <v>0</v>
      </c>
      <c r="F238" s="47" t="s">
        <v>958</v>
      </c>
      <c r="G238" s="68">
        <f ca="1">M24</f>
        <v>0</v>
      </c>
      <c r="H238" s="37" t="s">
        <v>858</v>
      </c>
      <c r="I238" s="69" t="e">
        <f ca="1">E11</f>
        <v>#DIV/0!</v>
      </c>
      <c r="J238" s="242" t="s">
        <v>365</v>
      </c>
      <c r="K238" s="68">
        <f ca="1">(E238-G238)*C238</f>
        <v>0</v>
      </c>
      <c r="L238" s="1246" t="s">
        <v>349</v>
      </c>
      <c r="M238" s="69" t="e">
        <f ca="1">E11</f>
        <v>#DIV/0!</v>
      </c>
      <c r="N238" s="52" t="s">
        <v>365</v>
      </c>
      <c r="O238" s="150"/>
      <c r="P238" s="151"/>
      <c r="Q238" s="152" t="e">
        <f ca="1">K238*M238</f>
        <v>#DIV/0!</v>
      </c>
      <c r="R238" s="44"/>
      <c r="U238" s="38"/>
      <c r="W238" s="605" t="s">
        <v>959</v>
      </c>
      <c r="Y238" s="611" t="s">
        <v>960</v>
      </c>
    </row>
    <row r="239" spans="1:25" ht="12" customHeight="1" thickTop="1">
      <c r="A239" s="64"/>
      <c r="B239" s="84"/>
      <c r="C239" s="71" t="s">
        <v>544</v>
      </c>
      <c r="E239" s="101" t="s">
        <v>961</v>
      </c>
      <c r="G239" s="101" t="s">
        <v>962</v>
      </c>
      <c r="I239" s="73" t="s">
        <v>370</v>
      </c>
      <c r="J239" s="64"/>
      <c r="K239" s="101" t="s">
        <v>963</v>
      </c>
      <c r="L239" s="364"/>
      <c r="M239" s="73" t="s">
        <v>370</v>
      </c>
      <c r="O239" s="64"/>
      <c r="Q239" s="71" t="s">
        <v>964</v>
      </c>
      <c r="R239" s="50"/>
      <c r="U239" s="1158" t="s">
        <v>965</v>
      </c>
    </row>
    <row r="240" spans="1:25" s="64" customFormat="1" ht="12" customHeight="1" thickBot="1">
      <c r="C240" s="46" t="s">
        <v>966</v>
      </c>
      <c r="D240" s="52" t="s">
        <v>378</v>
      </c>
      <c r="E240">
        <f>Remote_Location</f>
        <v>0</v>
      </c>
      <c r="F240"/>
      <c r="G240"/>
      <c r="J240" s="1159"/>
      <c r="K240" s="1123"/>
      <c r="L240" s="364"/>
      <c r="M240" s="38"/>
      <c r="N240"/>
      <c r="O240"/>
      <c r="P240"/>
      <c r="Q240"/>
      <c r="R240"/>
      <c r="S240" s="153" t="e">
        <f ca="1">IF(AND(Q238&gt;0,Q243&gt;0),MAX(Q238,Q243),Q243)</f>
        <v>#DIV/0!</v>
      </c>
      <c r="T240" s="47" t="s">
        <v>378</v>
      </c>
      <c r="U240" s="105" t="e">
        <f ca="1">S240</f>
        <v>#DIV/0!</v>
      </c>
      <c r="W240" s="605" t="s">
        <v>967</v>
      </c>
      <c r="Y240" s="614"/>
    </row>
    <row r="241" spans="1:29" s="64" customFormat="1" ht="12" customHeight="1" thickTop="1">
      <c r="A241" s="1123" t="s">
        <v>968</v>
      </c>
      <c r="B241"/>
      <c r="C241"/>
      <c r="D241" s="33"/>
      <c r="E241" s="1123"/>
      <c r="F241" s="1123"/>
      <c r="G241" s="1123"/>
      <c r="H241" s="1123"/>
      <c r="I241" s="1123"/>
      <c r="J241" s="37"/>
      <c r="K241"/>
      <c r="L241" s="364"/>
      <c r="M241" s="38"/>
      <c r="N241"/>
      <c r="O241"/>
      <c r="P241"/>
      <c r="Q241"/>
      <c r="R241" s="50"/>
      <c r="S241" s="1123" t="s">
        <v>969</v>
      </c>
      <c r="T241"/>
      <c r="U241" s="106" t="e">
        <f>S24</f>
        <v>#DIV/0!</v>
      </c>
      <c r="V241"/>
      <c r="W241" s="605" t="s">
        <v>970</v>
      </c>
      <c r="Y241" s="614"/>
    </row>
    <row r="242" spans="1:29" ht="12" customHeight="1">
      <c r="A242" s="155" t="s">
        <v>971</v>
      </c>
      <c r="B242"/>
      <c r="C242"/>
      <c r="D242" s="33"/>
      <c r="E242" s="1123"/>
      <c r="F242" s="1123"/>
      <c r="G242" s="1123"/>
      <c r="H242" s="1123"/>
      <c r="I242" s="1123"/>
      <c r="J242" s="37"/>
      <c r="K242"/>
      <c r="L242" s="364"/>
      <c r="M242" s="38"/>
      <c r="R242" s="50"/>
      <c r="S242" s="154"/>
      <c r="U242" s="71"/>
    </row>
    <row r="243" spans="1:29" ht="12" customHeight="1" thickBot="1">
      <c r="A243" s="156">
        <v>0.25</v>
      </c>
      <c r="B243" s="142" t="s">
        <v>972</v>
      </c>
      <c r="C243" s="329">
        <f ca="1">IF($E$5&lt;100,91.3%,85%)</f>
        <v>0.91299999999999992</v>
      </c>
      <c r="D243" s="37" t="s">
        <v>536</v>
      </c>
      <c r="E243" s="647">
        <f ca="1">$E$5*1000</f>
        <v>0</v>
      </c>
      <c r="F243" s="47" t="s">
        <v>973</v>
      </c>
      <c r="G243" s="66">
        <f>SQRT(3)</f>
        <v>1.7320508075688772</v>
      </c>
      <c r="H243" s="51" t="s">
        <v>536</v>
      </c>
      <c r="I243" s="1911">
        <f ca="1">$E$7</f>
        <v>0</v>
      </c>
      <c r="J243" s="1911"/>
      <c r="K243" s="1911"/>
      <c r="L243" s="51" t="s">
        <v>536</v>
      </c>
      <c r="M243" s="67" t="e">
        <f>COS(PI()*($S$24-40)/180)</f>
        <v>#DIV/0!</v>
      </c>
      <c r="N243" s="52" t="s">
        <v>850</v>
      </c>
      <c r="O243" s="69" t="e">
        <f ca="1">E11</f>
        <v>#DIV/0!</v>
      </c>
      <c r="P243" s="51" t="s">
        <v>365</v>
      </c>
      <c r="Q243" s="152" t="e">
        <f ca="1">(A243*C243*E243/(G243*I243*M243))*O243</f>
        <v>#DIV/0!</v>
      </c>
      <c r="R243" s="45"/>
      <c r="S243" s="157"/>
      <c r="U243" s="46"/>
      <c r="W243" s="605" t="s">
        <v>974</v>
      </c>
      <c r="Y243" s="611" t="s">
        <v>960</v>
      </c>
    </row>
    <row r="244" spans="1:29" ht="12" customHeight="1" thickTop="1">
      <c r="A244" s="71" t="s">
        <v>544</v>
      </c>
      <c r="B244" s="37"/>
      <c r="C244" s="331" t="s">
        <v>886</v>
      </c>
      <c r="E244" s="71" t="s">
        <v>887</v>
      </c>
      <c r="G244" s="101" t="s">
        <v>542</v>
      </c>
      <c r="I244" s="1924" t="s">
        <v>888</v>
      </c>
      <c r="J244" s="1924"/>
      <c r="K244" s="1924"/>
      <c r="M244" s="71" t="s">
        <v>975</v>
      </c>
      <c r="O244" s="73" t="s">
        <v>370</v>
      </c>
      <c r="Q244" s="71" t="s">
        <v>964</v>
      </c>
      <c r="S244" s="670"/>
      <c r="U244" s="38"/>
    </row>
    <row r="245" spans="1:29" ht="12" customHeight="1">
      <c r="A245" s="1123" t="s">
        <v>976</v>
      </c>
      <c r="C245" s="1123"/>
      <c r="D245" s="1738" t="s">
        <v>977</v>
      </c>
      <c r="E245" s="1738"/>
      <c r="F245" s="1738"/>
      <c r="G245" s="1738"/>
      <c r="H245" s="1738"/>
      <c r="I245" s="1738"/>
      <c r="J245" s="1738"/>
      <c r="K245" s="1738"/>
      <c r="L245" s="1738"/>
      <c r="M245" s="1738"/>
      <c r="N245" s="1738"/>
      <c r="O245" s="1738"/>
      <c r="P245" s="1738"/>
      <c r="Q245" s="1738"/>
      <c r="S245" s="670"/>
      <c r="T245" s="670"/>
      <c r="U245" s="670"/>
    </row>
    <row r="246" spans="1:29" ht="12" customHeight="1">
      <c r="A246" s="155" t="s">
        <v>978</v>
      </c>
      <c r="C246" s="1123"/>
      <c r="D246" s="1738"/>
      <c r="E246" s="1738"/>
      <c r="F246" s="1738"/>
      <c r="G246" s="1738"/>
      <c r="H246" s="1738"/>
      <c r="I246" s="1738"/>
      <c r="J246" s="1738"/>
      <c r="K246" s="1738"/>
      <c r="L246" s="1738"/>
      <c r="M246" s="1738"/>
      <c r="N246" s="1738"/>
      <c r="O246" s="1738"/>
      <c r="P246" s="1738"/>
      <c r="Q246" s="1738"/>
      <c r="S246" s="670"/>
      <c r="T246" s="670"/>
      <c r="U246" s="1158" t="s">
        <v>979</v>
      </c>
    </row>
    <row r="247" spans="1:29" ht="12" customHeight="1">
      <c r="A247" s="156">
        <v>1</v>
      </c>
      <c r="B247" s="142" t="s">
        <v>972</v>
      </c>
      <c r="C247" s="329">
        <f ca="1">IF($E$5&lt;100,91.3%,85%)</f>
        <v>0.91299999999999992</v>
      </c>
      <c r="D247" s="37" t="s">
        <v>536</v>
      </c>
      <c r="E247" s="647">
        <f ca="1">$E$5*1000</f>
        <v>0</v>
      </c>
      <c r="F247" s="47" t="s">
        <v>973</v>
      </c>
      <c r="G247" s="66">
        <f>SQRT(3)</f>
        <v>1.7320508075688772</v>
      </c>
      <c r="H247" s="51" t="s">
        <v>536</v>
      </c>
      <c r="I247" s="1911">
        <f ca="1">$E$7</f>
        <v>0</v>
      </c>
      <c r="J247" s="1911"/>
      <c r="K247" s="1911"/>
      <c r="L247" s="51" t="s">
        <v>536</v>
      </c>
      <c r="M247" s="67" t="e">
        <f>IF(G236="No",COS(PI()*($S$24-40)/180),IF(U250&lt;&gt;"",COS(PI()*(U250-'1) Data Entry'!G50:H50)/180),COS(PI()*('6) Zone Imp'!S24-'1) Data Entry'!G50)/180)))</f>
        <v>#DIV/0!</v>
      </c>
      <c r="N247" s="52" t="s">
        <v>850</v>
      </c>
      <c r="O247" s="69" t="e">
        <f ca="1">E11</f>
        <v>#DIV/0!</v>
      </c>
      <c r="P247" s="51" t="s">
        <v>365</v>
      </c>
      <c r="Q247" s="1257" t="e">
        <f ca="1">(A247*C247*$E$247)/($G$247*$I$247*$M$247)</f>
        <v>#DIV/0!</v>
      </c>
      <c r="R247" s="51" t="s">
        <v>536</v>
      </c>
      <c r="S247" s="1265" t="e">
        <f ca="1">E11</f>
        <v>#DIV/0!</v>
      </c>
      <c r="T247" s="1266" t="s">
        <v>365</v>
      </c>
      <c r="U247" s="105" t="e">
        <f ca="1">Q247*O247</f>
        <v>#DIV/0!</v>
      </c>
      <c r="W247" s="605" t="s">
        <v>980</v>
      </c>
    </row>
    <row r="248" spans="1:29" s="46" customFormat="1" ht="12" customHeight="1">
      <c r="A248" s="71" t="s">
        <v>544</v>
      </c>
      <c r="B248" s="37"/>
      <c r="C248" s="331" t="s">
        <v>886</v>
      </c>
      <c r="D248" s="37"/>
      <c r="E248" s="71" t="s">
        <v>887</v>
      </c>
      <c r="F248" s="51"/>
      <c r="G248" s="101" t="s">
        <v>542</v>
      </c>
      <c r="H248" s="37"/>
      <c r="I248" s="1924" t="s">
        <v>888</v>
      </c>
      <c r="J248" s="1924"/>
      <c r="K248" s="1924"/>
      <c r="L248"/>
      <c r="M248" s="71" t="str">
        <f>IF(G236="No","Cos (qm - 40)", "Gen Power Angle")</f>
        <v>Cos (qm - 40)</v>
      </c>
      <c r="N248"/>
      <c r="O248" s="73" t="s">
        <v>370</v>
      </c>
      <c r="P248"/>
      <c r="Q248" s="73" t="s">
        <v>981</v>
      </c>
      <c r="R248"/>
      <c r="S248" s="73" t="s">
        <v>370</v>
      </c>
      <c r="T248" s="73"/>
      <c r="U248" s="106" t="e">
        <f>IF(U250&lt;&gt;"",U250,S24)</f>
        <v>#DIV/0!</v>
      </c>
      <c r="W248" s="605" t="s">
        <v>982</v>
      </c>
      <c r="Y248" s="611"/>
    </row>
    <row r="249" spans="1:29" s="46" customFormat="1" ht="12" customHeight="1" thickBot="1">
      <c r="A249" s="71"/>
      <c r="B249" s="37"/>
      <c r="C249" s="331"/>
      <c r="D249" s="37"/>
      <c r="E249" s="71"/>
      <c r="F249" s="51"/>
      <c r="G249" s="101"/>
      <c r="H249" s="37"/>
      <c r="I249" s="71"/>
      <c r="J249" s="71"/>
      <c r="K249" s="71"/>
      <c r="L249"/>
      <c r="M249" s="71"/>
      <c r="N249"/>
      <c r="O249" s="73"/>
      <c r="P249"/>
      <c r="Q249" s="73"/>
      <c r="R249"/>
      <c r="S249" s="73"/>
      <c r="T249" s="73"/>
      <c r="U249" s="107"/>
      <c r="W249" s="605"/>
      <c r="Y249" s="611"/>
    </row>
    <row r="250" spans="1:29" s="41" customFormat="1" ht="12" customHeight="1" thickBot="1">
      <c r="A250" s="71"/>
      <c r="B250" s="37"/>
      <c r="C250" s="331"/>
      <c r="D250" s="37"/>
      <c r="E250" s="71"/>
      <c r="F250" s="51"/>
      <c r="G250" s="101"/>
      <c r="H250" s="37"/>
      <c r="I250" s="1073"/>
      <c r="J250" s="1073"/>
      <c r="K250" s="1073"/>
      <c r="L250" s="1073"/>
      <c r="M250" s="1073"/>
      <c r="N250" s="1073"/>
      <c r="O250" s="1073"/>
      <c r="P250"/>
      <c r="Q250" s="1394"/>
      <c r="R250" s="1394"/>
      <c r="S250" s="912" t="s">
        <v>892</v>
      </c>
      <c r="T250" s="327" t="s">
        <v>365</v>
      </c>
      <c r="U250" s="1258"/>
      <c r="V250" s="670"/>
      <c r="W250" s="1941" t="s">
        <v>893</v>
      </c>
      <c r="X250" s="1941"/>
      <c r="Y250" s="1941"/>
      <c r="Z250" s="1941"/>
      <c r="AA250" s="1941"/>
      <c r="AB250" s="1941"/>
      <c r="AC250" s="1941"/>
    </row>
    <row r="251" spans="1:29" s="41" customFormat="1" ht="12" customHeight="1">
      <c r="A251" s="71"/>
      <c r="B251" s="37"/>
      <c r="C251" s="331"/>
      <c r="D251" s="37"/>
      <c r="E251" s="71"/>
      <c r="F251" s="51"/>
      <c r="G251" s="101"/>
      <c r="H251" s="37"/>
      <c r="I251" s="101"/>
      <c r="J251" s="364"/>
      <c r="K251" s="71"/>
      <c r="L251"/>
      <c r="M251" s="71"/>
      <c r="N251"/>
      <c r="O251" s="73"/>
      <c r="P251"/>
      <c r="Q251" s="73"/>
      <c r="R251"/>
      <c r="S251" s="73"/>
      <c r="T251" s="73"/>
      <c r="U251" s="107"/>
      <c r="V251" s="670"/>
      <c r="W251" s="1941"/>
      <c r="X251" s="1941"/>
      <c r="Y251" s="1941"/>
      <c r="Z251" s="1941"/>
      <c r="AA251" s="1941"/>
      <c r="AB251" s="1941"/>
      <c r="AC251" s="1941"/>
    </row>
    <row r="252" spans="1:29" s="41" customFormat="1" ht="12" customHeight="1">
      <c r="A252" s="46"/>
      <c r="B252" s="46"/>
      <c r="C252" s="46"/>
      <c r="D252" s="46"/>
      <c r="E252" s="46"/>
      <c r="F252" s="46"/>
      <c r="G252" s="46"/>
      <c r="H252" s="46"/>
      <c r="I252" s="46"/>
      <c r="J252" s="46"/>
      <c r="K252" s="46"/>
      <c r="L252" s="46"/>
      <c r="M252"/>
      <c r="N252"/>
      <c r="O252" s="1738" t="s">
        <v>865</v>
      </c>
      <c r="P252" s="1738"/>
      <c r="Q252" s="1738"/>
      <c r="R252" s="1738"/>
      <c r="S252" s="1738"/>
      <c r="T252" s="1738"/>
      <c r="U252" s="1738"/>
      <c r="V252" s="670"/>
      <c r="W252" s="605"/>
      <c r="X252" s="670"/>
      <c r="Y252" s="611"/>
      <c r="Z252" s="670"/>
      <c r="AA252" s="670"/>
      <c r="AB252" s="670"/>
      <c r="AC252" s="670"/>
    </row>
    <row r="253" spans="1:29" s="41" customFormat="1" ht="12" customHeight="1">
      <c r="A253" s="1886" t="s">
        <v>759</v>
      </c>
      <c r="B253" s="1887"/>
      <c r="C253" s="1887"/>
      <c r="D253" s="1887"/>
      <c r="E253" s="1887"/>
      <c r="F253" s="1887"/>
      <c r="G253" s="1887"/>
      <c r="H253" s="1887"/>
      <c r="I253" s="1888"/>
      <c r="J253" s="1889"/>
      <c r="K253" s="670"/>
      <c r="L253" s="670"/>
      <c r="M253" s="670"/>
      <c r="N253" s="670"/>
      <c r="O253" s="670"/>
      <c r="P253" s="1024"/>
      <c r="Q253" s="670"/>
      <c r="R253" s="1155"/>
      <c r="S253" s="349" t="s">
        <v>26</v>
      </c>
      <c r="T253" s="1129"/>
      <c r="U253" s="1129"/>
      <c r="V253" s="670"/>
      <c r="W253" s="605"/>
      <c r="X253" s="670"/>
      <c r="Y253" s="611"/>
      <c r="Z253" s="670"/>
      <c r="AA253" s="670"/>
      <c r="AB253" s="670"/>
      <c r="AC253" s="670"/>
    </row>
    <row r="254" spans="1:29" s="41" customFormat="1" ht="12" customHeight="1">
      <c r="A254" s="1890"/>
      <c r="B254" s="1891"/>
      <c r="C254" s="1891"/>
      <c r="D254" s="1891"/>
      <c r="E254" s="1891"/>
      <c r="F254" s="1891"/>
      <c r="G254" s="1891"/>
      <c r="H254" s="1891"/>
      <c r="I254" s="1892"/>
      <c r="J254" s="1893"/>
      <c r="K254" s="158"/>
      <c r="L254" s="145"/>
      <c r="M254" s="323" t="s">
        <v>983</v>
      </c>
      <c r="N254" s="47" t="s">
        <v>365</v>
      </c>
      <c r="O254" s="330" t="e">
        <f ca="1">U240</f>
        <v>#DIV/0!</v>
      </c>
      <c r="P254" s="392" t="s">
        <v>452</v>
      </c>
      <c r="Q254" s="106" t="e">
        <f>U241</f>
        <v>#DIV/0!</v>
      </c>
      <c r="R254" s="759" t="s">
        <v>378</v>
      </c>
      <c r="S254" s="78" t="e">
        <f ca="1">IF(O255="",ROUND(O254,2),O255)</f>
        <v>#DIV/0!</v>
      </c>
      <c r="T254" s="392" t="s">
        <v>452</v>
      </c>
      <c r="U254" s="106" t="e">
        <f>IF(Q255="",Q254,Q255)</f>
        <v>#DIV/0!</v>
      </c>
      <c r="V254" s="670"/>
      <c r="W254" s="605" t="s">
        <v>984</v>
      </c>
      <c r="X254" s="670"/>
      <c r="Y254" s="611"/>
      <c r="Z254" s="670"/>
      <c r="AA254" s="670"/>
      <c r="AB254" s="670"/>
      <c r="AC254" s="670"/>
    </row>
    <row r="255" spans="1:29" ht="12" customHeight="1">
      <c r="A255" s="1894"/>
      <c r="B255" s="1895"/>
      <c r="C255" s="1895"/>
      <c r="D255" s="1895"/>
      <c r="E255" s="1895"/>
      <c r="F255" s="1895"/>
      <c r="G255" s="1895"/>
      <c r="H255" s="1895"/>
      <c r="I255" s="1896"/>
      <c r="J255" s="1897"/>
      <c r="K255" s="670"/>
      <c r="L255" s="670"/>
      <c r="M255" s="670" t="s">
        <v>985</v>
      </c>
      <c r="N255" s="1024" t="s">
        <v>378</v>
      </c>
      <c r="O255" s="121"/>
      <c r="P255" s="670"/>
      <c r="Q255" s="1251"/>
      <c r="R255" s="670"/>
      <c r="S255" s="670"/>
      <c r="T255" s="670"/>
      <c r="U255" s="670"/>
    </row>
    <row r="256" spans="1:29" ht="12" customHeight="1">
      <c r="A256" s="61"/>
      <c r="B256" s="79"/>
      <c r="C256" s="79"/>
      <c r="D256" s="58"/>
      <c r="E256" s="59"/>
      <c r="F256" s="60"/>
      <c r="G256" s="125"/>
      <c r="H256" s="58"/>
      <c r="I256" s="61"/>
      <c r="J256" s="1229"/>
      <c r="K256" s="62"/>
      <c r="L256" s="61"/>
      <c r="M256" s="61"/>
      <c r="N256" s="61"/>
      <c r="O256" s="61"/>
      <c r="P256" s="61"/>
      <c r="Q256" s="61"/>
      <c r="R256" s="61"/>
      <c r="S256" s="61"/>
      <c r="T256" s="61"/>
      <c r="U256" s="62"/>
    </row>
    <row r="257" spans="1:25" s="41" customFormat="1" ht="12" customHeight="1">
      <c r="A257" s="670"/>
      <c r="B257" s="762"/>
      <c r="C257" s="762"/>
      <c r="D257" s="389"/>
      <c r="E257" s="1162"/>
      <c r="F257" s="392"/>
      <c r="G257" s="1163"/>
      <c r="H257" s="389"/>
      <c r="I257" s="670"/>
      <c r="J257" s="364"/>
      <c r="K257" s="1164"/>
      <c r="L257" s="670"/>
      <c r="M257" s="670"/>
      <c r="N257" s="670"/>
      <c r="O257" s="670"/>
      <c r="P257"/>
      <c r="Q257"/>
      <c r="R257"/>
      <c r="S257"/>
      <c r="T257"/>
      <c r="U257"/>
      <c r="V257" s="670"/>
      <c r="W257" s="607"/>
      <c r="X257" s="670"/>
      <c r="Y257" s="615"/>
    </row>
    <row r="258" spans="1:25" ht="12" customHeight="1">
      <c r="A258" s="670"/>
      <c r="B258" s="762"/>
      <c r="C258" s="762"/>
      <c r="D258" s="389"/>
      <c r="E258" s="1162"/>
      <c r="F258" s="392"/>
      <c r="G258" s="1163"/>
      <c r="H258" s="389"/>
      <c r="I258" s="670"/>
      <c r="J258" s="364"/>
      <c r="K258" s="1164"/>
      <c r="L258" s="670"/>
      <c r="M258" s="670"/>
      <c r="N258" s="670"/>
      <c r="O258" s="670"/>
      <c r="U258" s="159"/>
    </row>
    <row r="274" spans="52:54" ht="12" customHeight="1">
      <c r="AZ274" s="670" t="s">
        <v>986</v>
      </c>
      <c r="BA274" s="670" t="s">
        <v>987</v>
      </c>
    </row>
    <row r="275" spans="52:54" ht="12" customHeight="1">
      <c r="AZ275">
        <v>40</v>
      </c>
      <c r="BA275" t="e">
        <f ca="1">ROUNDUP(_Z4P*COS((_Z1ANG-AZ275)*PI()/180),2)</f>
        <v>#DIV/0!</v>
      </c>
      <c r="BB275" t="e">
        <f ca="1">IF(BA275&lt;_ZLF,40,AZ276)</f>
        <v>#DIV/0!</v>
      </c>
    </row>
    <row r="276" spans="52:54" ht="12" customHeight="1">
      <c r="AZ276" t="str">
        <f>'1) Data Entry'!G50</f>
        <v/>
      </c>
      <c r="BA276" t="e">
        <f ca="1">ROUNDUP(_Z4P*COS((_Z1ANG-AZ276)*PI()/180),2)</f>
        <v>#DIV/0!</v>
      </c>
    </row>
    <row r="282" spans="52:54" ht="12" customHeight="1">
      <c r="AZ282" s="670" t="s">
        <v>988</v>
      </c>
    </row>
    <row r="283" spans="52:54" ht="12" customHeight="1">
      <c r="AZ283" s="670" t="s">
        <v>955</v>
      </c>
    </row>
    <row r="312" spans="2:28" ht="12" customHeight="1">
      <c r="B312"/>
      <c r="C312"/>
      <c r="D312"/>
      <c r="E312"/>
      <c r="F312"/>
      <c r="G312"/>
      <c r="H312"/>
      <c r="J312"/>
      <c r="K312"/>
      <c r="AA312" s="670" t="s">
        <v>989</v>
      </c>
    </row>
    <row r="313" spans="2:28" ht="12" customHeight="1">
      <c r="B313"/>
      <c r="C313"/>
      <c r="D313"/>
      <c r="E313"/>
      <c r="F313"/>
      <c r="G313"/>
      <c r="H313"/>
      <c r="J313"/>
      <c r="K313"/>
      <c r="AA313" s="584" t="str">
        <f>'1) Data Entry'!AD413</f>
        <v/>
      </c>
      <c r="AB313" s="670" t="s">
        <v>990</v>
      </c>
    </row>
    <row r="314" spans="2:28" ht="12" customHeight="1">
      <c r="B314"/>
      <c r="C314"/>
      <c r="D314"/>
      <c r="E314"/>
      <c r="F314"/>
      <c r="G314"/>
      <c r="H314"/>
      <c r="J314"/>
      <c r="K314"/>
      <c r="AA314" s="584" t="str">
        <f>'1) Data Entry'!AD414</f>
        <v/>
      </c>
      <c r="AB314" s="670" t="s">
        <v>991</v>
      </c>
    </row>
    <row r="315" spans="2:28" ht="12" customHeight="1">
      <c r="B315"/>
      <c r="C315"/>
      <c r="D315"/>
      <c r="E315"/>
      <c r="F315"/>
      <c r="G315"/>
      <c r="H315"/>
      <c r="J315"/>
      <c r="K315"/>
      <c r="AA315" s="584" t="str">
        <f>'1) Data Entry'!AD415</f>
        <v/>
      </c>
    </row>
    <row r="316" spans="2:28" ht="12" customHeight="1">
      <c r="B316"/>
      <c r="C316"/>
      <c r="D316"/>
      <c r="E316"/>
      <c r="F316"/>
      <c r="G316"/>
      <c r="H316"/>
      <c r="J316"/>
      <c r="K316"/>
      <c r="AA316" s="584" t="str">
        <f>'1) Data Entry'!AD416</f>
        <v/>
      </c>
    </row>
    <row r="317" spans="2:28" ht="12" customHeight="1">
      <c r="B317"/>
      <c r="C317"/>
      <c r="D317"/>
      <c r="E317"/>
      <c r="F317"/>
      <c r="G317"/>
      <c r="H317"/>
      <c r="J317"/>
      <c r="K317"/>
      <c r="AA317" s="584" t="str">
        <f>'1) Data Entry'!AD417</f>
        <v/>
      </c>
    </row>
    <row r="318" spans="2:28" ht="12" customHeight="1">
      <c r="B318"/>
      <c r="C318"/>
      <c r="D318"/>
      <c r="E318"/>
      <c r="F318"/>
      <c r="G318"/>
      <c r="H318"/>
      <c r="J318"/>
      <c r="K318"/>
      <c r="AA318" s="584" t="str">
        <f>'1) Data Entry'!AD418</f>
        <v/>
      </c>
    </row>
    <row r="319" spans="2:28" ht="12" customHeight="1">
      <c r="B319"/>
      <c r="C319"/>
      <c r="D319"/>
      <c r="E319"/>
      <c r="F319"/>
      <c r="G319"/>
      <c r="H319"/>
      <c r="J319"/>
      <c r="K319"/>
      <c r="AA319" s="584" t="str">
        <f>'1) Data Entry'!AD419</f>
        <v/>
      </c>
    </row>
    <row r="320" spans="2:28" ht="12" customHeight="1">
      <c r="B320"/>
      <c r="C320"/>
      <c r="D320"/>
      <c r="E320"/>
      <c r="F320"/>
      <c r="G320"/>
      <c r="H320"/>
      <c r="J320"/>
      <c r="K320"/>
      <c r="AA320" s="584" t="str">
        <f>'1) Data Entry'!AD420</f>
        <v/>
      </c>
    </row>
    <row r="321" spans="2:27" ht="12" customHeight="1">
      <c r="B321"/>
      <c r="C321"/>
      <c r="D321"/>
      <c r="E321"/>
      <c r="F321"/>
      <c r="G321"/>
      <c r="H321"/>
      <c r="J321"/>
      <c r="K321"/>
      <c r="AA321" s="584" t="str">
        <f>'1) Data Entry'!AD421</f>
        <v/>
      </c>
    </row>
    <row r="322" spans="2:27" ht="12" customHeight="1">
      <c r="B322"/>
      <c r="C322"/>
      <c r="D322"/>
      <c r="E322"/>
      <c r="F322"/>
      <c r="G322"/>
      <c r="H322"/>
      <c r="J322"/>
      <c r="K322"/>
      <c r="AA322" s="584" t="str">
        <f>'1) Data Entry'!AD422</f>
        <v/>
      </c>
    </row>
    <row r="323" spans="2:27" ht="12" customHeight="1">
      <c r="B323"/>
      <c r="C323"/>
      <c r="D323"/>
      <c r="E323"/>
      <c r="F323"/>
      <c r="G323"/>
      <c r="H323"/>
      <c r="J323"/>
      <c r="K323"/>
      <c r="AA323" s="584" t="str">
        <f>'1) Data Entry'!AD423</f>
        <v/>
      </c>
    </row>
    <row r="324" spans="2:27" ht="12" customHeight="1">
      <c r="B324"/>
      <c r="C324"/>
      <c r="D324"/>
      <c r="E324"/>
      <c r="F324"/>
      <c r="G324"/>
      <c r="H324"/>
      <c r="J324"/>
      <c r="K324"/>
      <c r="AA324" s="584" t="str">
        <f>'1) Data Entry'!AD424</f>
        <v/>
      </c>
    </row>
    <row r="717" spans="2:11" ht="12" customHeight="1">
      <c r="B717"/>
      <c r="C717"/>
      <c r="D717"/>
      <c r="E717"/>
      <c r="F717"/>
      <c r="G717"/>
      <c r="H717"/>
      <c r="J717"/>
      <c r="K717"/>
    </row>
    <row r="718" spans="2:11" ht="12" customHeight="1">
      <c r="B718"/>
      <c r="C718"/>
      <c r="D718"/>
      <c r="E718"/>
      <c r="F718"/>
      <c r="G718"/>
      <c r="H718"/>
      <c r="J718"/>
      <c r="K718"/>
    </row>
    <row r="719" spans="2:11" ht="12" customHeight="1">
      <c r="B719"/>
      <c r="C719"/>
      <c r="D719"/>
      <c r="E719"/>
      <c r="F719"/>
      <c r="G719"/>
      <c r="H719"/>
      <c r="J719"/>
      <c r="K719"/>
    </row>
    <row r="720" spans="2:11" ht="12" customHeight="1">
      <c r="B720"/>
      <c r="C720"/>
      <c r="D720"/>
      <c r="E720"/>
      <c r="F720"/>
      <c r="G720"/>
      <c r="H720"/>
      <c r="J720"/>
      <c r="K720"/>
    </row>
    <row r="721" spans="2:11" ht="12" customHeight="1">
      <c r="B721"/>
      <c r="C721"/>
      <c r="D721"/>
      <c r="E721"/>
      <c r="F721"/>
      <c r="G721"/>
      <c r="H721"/>
      <c r="J721"/>
      <c r="K721"/>
    </row>
    <row r="722" spans="2:11" ht="12" customHeight="1">
      <c r="B722"/>
      <c r="C722"/>
      <c r="D722"/>
      <c r="E722"/>
      <c r="F722"/>
      <c r="G722"/>
      <c r="H722"/>
      <c r="J722"/>
      <c r="K722"/>
    </row>
    <row r="723" spans="2:11" ht="12" customHeight="1">
      <c r="B723"/>
      <c r="C723"/>
      <c r="D723"/>
      <c r="E723"/>
      <c r="F723"/>
      <c r="G723"/>
      <c r="H723"/>
      <c r="J723"/>
      <c r="K723"/>
    </row>
    <row r="724" spans="2:11" ht="12" customHeight="1">
      <c r="B724"/>
      <c r="C724"/>
      <c r="D724"/>
      <c r="E724"/>
      <c r="F724"/>
      <c r="G724"/>
      <c r="H724"/>
      <c r="J724"/>
      <c r="K724"/>
    </row>
    <row r="725" spans="2:11" ht="12" customHeight="1">
      <c r="B725"/>
      <c r="C725"/>
      <c r="D725"/>
      <c r="E725"/>
      <c r="F725"/>
      <c r="G725"/>
      <c r="H725"/>
      <c r="J725"/>
      <c r="K725"/>
    </row>
    <row r="726" spans="2:11" ht="12" customHeight="1">
      <c r="B726"/>
      <c r="C726"/>
      <c r="D726"/>
      <c r="E726"/>
      <c r="F726"/>
      <c r="G726"/>
      <c r="H726"/>
      <c r="J726"/>
      <c r="K726"/>
    </row>
    <row r="727" spans="2:11" ht="12" customHeight="1">
      <c r="B727"/>
      <c r="C727"/>
      <c r="D727"/>
      <c r="E727"/>
      <c r="F727"/>
      <c r="G727"/>
      <c r="H727"/>
      <c r="J727"/>
      <c r="K727"/>
    </row>
    <row r="728" spans="2:11" ht="12" customHeight="1">
      <c r="B728"/>
      <c r="C728"/>
      <c r="D728"/>
      <c r="E728"/>
      <c r="F728"/>
      <c r="G728"/>
      <c r="H728"/>
      <c r="J728"/>
      <c r="K728"/>
    </row>
    <row r="729" spans="2:11" ht="12" customHeight="1">
      <c r="B729"/>
      <c r="C729"/>
      <c r="D729"/>
      <c r="E729"/>
      <c r="F729"/>
      <c r="G729"/>
      <c r="H729"/>
      <c r="J729"/>
      <c r="K729"/>
    </row>
    <row r="730" spans="2:11" ht="12" customHeight="1">
      <c r="B730"/>
      <c r="C730"/>
      <c r="D730"/>
      <c r="E730"/>
      <c r="F730"/>
      <c r="G730"/>
      <c r="H730"/>
      <c r="J730"/>
      <c r="K730"/>
    </row>
    <row r="731" spans="2:11" ht="12" customHeight="1">
      <c r="B731"/>
      <c r="C731"/>
      <c r="D731"/>
      <c r="E731"/>
      <c r="F731"/>
      <c r="G731"/>
      <c r="H731"/>
      <c r="J731"/>
      <c r="K731"/>
    </row>
    <row r="732" spans="2:11" ht="12" customHeight="1">
      <c r="B732"/>
      <c r="C732"/>
      <c r="D732"/>
      <c r="E732"/>
      <c r="F732"/>
      <c r="G732"/>
      <c r="H732"/>
      <c r="J732"/>
      <c r="K732"/>
    </row>
    <row r="733" spans="2:11" ht="12" customHeight="1">
      <c r="B733"/>
      <c r="C733"/>
      <c r="D733"/>
      <c r="E733"/>
      <c r="F733"/>
      <c r="G733"/>
      <c r="H733"/>
      <c r="J733"/>
      <c r="K733"/>
    </row>
    <row r="734" spans="2:11" ht="12" customHeight="1">
      <c r="B734"/>
      <c r="C734"/>
      <c r="D734"/>
      <c r="E734"/>
      <c r="F734"/>
      <c r="G734"/>
      <c r="H734"/>
      <c r="J734"/>
      <c r="K734"/>
    </row>
    <row r="735" spans="2:11" ht="12" customHeight="1">
      <c r="B735"/>
      <c r="C735"/>
      <c r="D735"/>
      <c r="E735"/>
      <c r="F735"/>
      <c r="G735"/>
      <c r="H735"/>
      <c r="J735"/>
      <c r="K735"/>
    </row>
    <row r="736" spans="2:11" ht="12" customHeight="1">
      <c r="B736"/>
      <c r="C736"/>
      <c r="D736"/>
      <c r="E736"/>
      <c r="F736"/>
      <c r="G736"/>
      <c r="H736"/>
      <c r="J736"/>
      <c r="K736"/>
    </row>
    <row r="737" spans="2:64" ht="12" customHeight="1">
      <c r="B737"/>
      <c r="C737"/>
      <c r="D737"/>
      <c r="E737"/>
      <c r="F737"/>
      <c r="G737"/>
      <c r="H737"/>
      <c r="J737"/>
      <c r="K737"/>
      <c r="BI737" s="124"/>
      <c r="BJ737" s="22"/>
      <c r="BK737" s="22"/>
      <c r="BL737" s="22"/>
    </row>
    <row r="738" spans="2:64" ht="12" customHeight="1">
      <c r="B738"/>
      <c r="C738"/>
      <c r="D738"/>
      <c r="E738"/>
      <c r="F738"/>
      <c r="G738"/>
      <c r="H738"/>
      <c r="J738"/>
      <c r="K738"/>
      <c r="BI738" s="22"/>
      <c r="BJ738" s="1172"/>
      <c r="BK738" s="22"/>
      <c r="BL738" s="22"/>
    </row>
    <row r="739" spans="2:64" ht="12" customHeight="1">
      <c r="B739"/>
      <c r="C739"/>
      <c r="D739"/>
      <c r="E739"/>
      <c r="F739"/>
      <c r="G739"/>
      <c r="H739"/>
      <c r="J739"/>
      <c r="K739"/>
      <c r="BJ739" s="1173"/>
    </row>
    <row r="740" spans="2:64" ht="12" customHeight="1">
      <c r="B740"/>
      <c r="C740"/>
      <c r="D740"/>
      <c r="E740"/>
      <c r="F740"/>
      <c r="G740"/>
      <c r="H740"/>
      <c r="J740"/>
      <c r="K740"/>
      <c r="BJ740" s="160"/>
    </row>
    <row r="741" spans="2:64" ht="12" customHeight="1">
      <c r="B741"/>
      <c r="C741"/>
      <c r="D741"/>
      <c r="E741"/>
      <c r="F741"/>
      <c r="G741"/>
      <c r="H741"/>
      <c r="J741"/>
      <c r="K741"/>
    </row>
    <row r="742" spans="2:64" ht="12" customHeight="1">
      <c r="B742"/>
      <c r="C742"/>
      <c r="D742"/>
      <c r="E742"/>
      <c r="F742"/>
      <c r="G742"/>
      <c r="H742"/>
      <c r="J742"/>
      <c r="K742"/>
    </row>
    <row r="743" spans="2:64" ht="12" customHeight="1">
      <c r="B743"/>
      <c r="C743"/>
      <c r="D743"/>
      <c r="E743"/>
      <c r="F743"/>
      <c r="G743"/>
      <c r="H743"/>
      <c r="J743"/>
      <c r="K743"/>
    </row>
    <row r="744" spans="2:64" ht="12" customHeight="1">
      <c r="B744"/>
      <c r="C744"/>
      <c r="D744"/>
      <c r="E744"/>
      <c r="F744"/>
      <c r="G744"/>
      <c r="H744"/>
      <c r="J744"/>
      <c r="K744"/>
    </row>
    <row r="745" spans="2:64" ht="12" customHeight="1">
      <c r="B745"/>
      <c r="C745"/>
      <c r="D745"/>
      <c r="E745"/>
      <c r="F745"/>
      <c r="G745"/>
      <c r="H745"/>
      <c r="J745"/>
      <c r="K745"/>
      <c r="BC745" s="98"/>
    </row>
    <row r="746" spans="2:64" ht="12" customHeight="1">
      <c r="B746"/>
      <c r="C746"/>
      <c r="D746"/>
      <c r="E746"/>
      <c r="F746"/>
      <c r="G746"/>
      <c r="H746"/>
      <c r="J746"/>
      <c r="K746"/>
    </row>
    <row r="747" spans="2:64" ht="12" customHeight="1">
      <c r="B747"/>
      <c r="C747"/>
      <c r="D747"/>
      <c r="E747"/>
      <c r="F747"/>
      <c r="G747"/>
      <c r="H747"/>
      <c r="J747"/>
      <c r="K747"/>
    </row>
    <row r="748" spans="2:64" ht="12" customHeight="1">
      <c r="B748"/>
      <c r="C748"/>
      <c r="D748"/>
      <c r="E748"/>
      <c r="F748"/>
      <c r="G748"/>
      <c r="H748"/>
      <c r="J748"/>
      <c r="K748"/>
      <c r="BC748" s="98"/>
    </row>
    <row r="749" spans="2:64" ht="12" customHeight="1">
      <c r="B749"/>
      <c r="C749"/>
      <c r="D749"/>
      <c r="E749"/>
      <c r="F749"/>
      <c r="G749"/>
      <c r="H749"/>
      <c r="J749"/>
      <c r="K749"/>
    </row>
    <row r="750" spans="2:64" ht="12" customHeight="1">
      <c r="B750"/>
      <c r="C750"/>
      <c r="D750"/>
      <c r="E750"/>
      <c r="F750"/>
      <c r="G750"/>
      <c r="H750"/>
      <c r="J750"/>
      <c r="K750"/>
    </row>
    <row r="751" spans="2:64" ht="12" customHeight="1">
      <c r="B751"/>
      <c r="C751"/>
      <c r="D751"/>
      <c r="E751"/>
      <c r="F751"/>
      <c r="G751"/>
      <c r="H751"/>
      <c r="J751"/>
      <c r="K751"/>
      <c r="BC751" s="98"/>
    </row>
    <row r="752" spans="2:64" ht="12" customHeight="1">
      <c r="B752"/>
      <c r="C752"/>
      <c r="D752"/>
      <c r="E752"/>
      <c r="F752"/>
      <c r="G752"/>
      <c r="H752"/>
      <c r="J752"/>
      <c r="K752"/>
    </row>
    <row r="753" spans="2:55" ht="12" customHeight="1">
      <c r="B753"/>
      <c r="C753"/>
      <c r="D753"/>
      <c r="E753"/>
      <c r="F753"/>
      <c r="G753"/>
      <c r="H753"/>
      <c r="J753"/>
      <c r="K753"/>
    </row>
    <row r="754" spans="2:55" ht="12" customHeight="1">
      <c r="B754"/>
      <c r="C754"/>
      <c r="D754"/>
      <c r="E754"/>
      <c r="F754"/>
      <c r="G754"/>
      <c r="H754"/>
      <c r="J754"/>
      <c r="K754"/>
      <c r="BC754" s="98"/>
    </row>
    <row r="755" spans="2:55" ht="12" customHeight="1">
      <c r="B755"/>
      <c r="C755"/>
      <c r="D755"/>
      <c r="E755"/>
      <c r="F755"/>
      <c r="G755"/>
      <c r="H755"/>
      <c r="J755"/>
      <c r="K755"/>
    </row>
    <row r="756" spans="2:55" ht="12" customHeight="1">
      <c r="B756"/>
      <c r="C756"/>
      <c r="D756"/>
      <c r="E756"/>
      <c r="F756"/>
      <c r="G756"/>
      <c r="H756"/>
      <c r="J756"/>
      <c r="K756"/>
    </row>
    <row r="757" spans="2:55" ht="12" customHeight="1">
      <c r="B757"/>
      <c r="C757"/>
      <c r="D757"/>
      <c r="E757"/>
      <c r="F757"/>
      <c r="G757"/>
      <c r="H757"/>
      <c r="J757"/>
      <c r="K757"/>
      <c r="BC757" s="98"/>
    </row>
    <row r="758" spans="2:55" ht="12" customHeight="1">
      <c r="B758"/>
      <c r="C758"/>
      <c r="D758"/>
      <c r="E758"/>
      <c r="F758"/>
      <c r="G758"/>
      <c r="H758"/>
      <c r="J758"/>
      <c r="K758"/>
    </row>
    <row r="759" spans="2:55" ht="12" customHeight="1">
      <c r="B759"/>
      <c r="C759"/>
      <c r="D759"/>
      <c r="E759"/>
      <c r="F759"/>
      <c r="G759"/>
      <c r="H759"/>
      <c r="J759"/>
      <c r="K759"/>
    </row>
    <row r="760" spans="2:55" ht="12" customHeight="1">
      <c r="B760"/>
      <c r="C760"/>
      <c r="D760"/>
      <c r="E760"/>
      <c r="F760"/>
      <c r="G760"/>
      <c r="H760"/>
      <c r="J760"/>
      <c r="K760"/>
      <c r="BC760" s="98"/>
    </row>
    <row r="761" spans="2:55" ht="12" customHeight="1">
      <c r="B761"/>
      <c r="C761"/>
      <c r="D761"/>
      <c r="E761"/>
      <c r="F761"/>
      <c r="G761"/>
      <c r="H761"/>
      <c r="J761"/>
      <c r="K761"/>
    </row>
  </sheetData>
  <sheetProtection algorithmName="SHA-512" hashValue="fUAs81gnpxz2EOyPZURCHjmQNN1LrsWYgyYVIr61RWxLhXlCRlVpgtOzRWTPUxFTfIg+TU6h6TuldwK7OEQl8A==" saltValue="NR/0TTHcFkPkwdqx4gQ0cg==" spinCount="100000" sheet="1" objects="1" scenarios="1"/>
  <mergeCells count="100">
    <mergeCell ref="W250:AC251"/>
    <mergeCell ref="I236:W237"/>
    <mergeCell ref="W160:AC161"/>
    <mergeCell ref="W190:AC192"/>
    <mergeCell ref="A226:M231"/>
    <mergeCell ref="A165:C167"/>
    <mergeCell ref="L165:U167"/>
    <mergeCell ref="J165:K165"/>
    <mergeCell ref="D165:D166"/>
    <mergeCell ref="E165:G165"/>
    <mergeCell ref="E166:G166"/>
    <mergeCell ref="H165:H166"/>
    <mergeCell ref="O185:U185"/>
    <mergeCell ref="R182:S182"/>
    <mergeCell ref="C172:M173"/>
    <mergeCell ref="R180:U180"/>
    <mergeCell ref="A221:D221"/>
    <mergeCell ref="A193:E193"/>
    <mergeCell ref="R181:S181"/>
    <mergeCell ref="A253:J255"/>
    <mergeCell ref="A187:J189"/>
    <mergeCell ref="D245:Q246"/>
    <mergeCell ref="M189:U191"/>
    <mergeCell ref="I243:K243"/>
    <mergeCell ref="I248:K248"/>
    <mergeCell ref="I247:K247"/>
    <mergeCell ref="I244:K244"/>
    <mergeCell ref="G213:K214"/>
    <mergeCell ref="S225:U227"/>
    <mergeCell ref="A194:Q197"/>
    <mergeCell ref="A200:T201"/>
    <mergeCell ref="A202:T203"/>
    <mergeCell ref="O252:U252"/>
    <mergeCell ref="M94:U95"/>
    <mergeCell ref="E146:I146"/>
    <mergeCell ref="E147:I147"/>
    <mergeCell ref="I162:K162"/>
    <mergeCell ref="E145:I145"/>
    <mergeCell ref="I156:K156"/>
    <mergeCell ref="G215:S216"/>
    <mergeCell ref="G217:S218"/>
    <mergeCell ref="A207:S211"/>
    <mergeCell ref="A204:S206"/>
    <mergeCell ref="G219:S220"/>
    <mergeCell ref="E104:M107"/>
    <mergeCell ref="E112:M115"/>
    <mergeCell ref="B175:M178"/>
    <mergeCell ref="I163:K163"/>
    <mergeCell ref="X19:AA19"/>
    <mergeCell ref="O37:U37"/>
    <mergeCell ref="X20:AA20"/>
    <mergeCell ref="Q14:S14"/>
    <mergeCell ref="A15:D15"/>
    <mergeCell ref="A16:D16"/>
    <mergeCell ref="A17:D17"/>
    <mergeCell ref="E15:F15"/>
    <mergeCell ref="A14:D14"/>
    <mergeCell ref="E16:F16"/>
    <mergeCell ref="E17:F17"/>
    <mergeCell ref="A5:D5"/>
    <mergeCell ref="A6:D6"/>
    <mergeCell ref="A7:D7"/>
    <mergeCell ref="M3:O3"/>
    <mergeCell ref="M4:O4"/>
    <mergeCell ref="G4:I4"/>
    <mergeCell ref="G3:I3"/>
    <mergeCell ref="N75:Q75"/>
    <mergeCell ref="C33:L36"/>
    <mergeCell ref="A52:D57"/>
    <mergeCell ref="E64:J67"/>
    <mergeCell ref="A8:D8"/>
    <mergeCell ref="K38:Q38"/>
    <mergeCell ref="I75:L75"/>
    <mergeCell ref="A9:D9"/>
    <mergeCell ref="A10:D10"/>
    <mergeCell ref="N84:U87"/>
    <mergeCell ref="M91:U92"/>
    <mergeCell ref="A161:A162"/>
    <mergeCell ref="Q157:Z159"/>
    <mergeCell ref="E84:G85"/>
    <mergeCell ref="C131:M132"/>
    <mergeCell ref="I155:K155"/>
    <mergeCell ref="E149:M152"/>
    <mergeCell ref="B157:O158"/>
    <mergeCell ref="B79:F83"/>
    <mergeCell ref="K84:M85"/>
    <mergeCell ref="E134:M137"/>
    <mergeCell ref="S9:U9"/>
    <mergeCell ref="A139:J141"/>
    <mergeCell ref="H100:I100"/>
    <mergeCell ref="H101:I101"/>
    <mergeCell ref="A118:O118"/>
    <mergeCell ref="A11:D11"/>
    <mergeCell ref="E76:G76"/>
    <mergeCell ref="A71:G71"/>
    <mergeCell ref="A38:J40"/>
    <mergeCell ref="E14:F14"/>
    <mergeCell ref="E123:M126"/>
    <mergeCell ref="Q131:Z132"/>
    <mergeCell ref="O133:U133"/>
  </mergeCells>
  <phoneticPr fontId="11" type="noConversion"/>
  <conditionalFormatting sqref="H184:H185 L184:L185 A184:D185 A173:B174 N173:U174 N132:P132 N179:U179 P175:U178 A179:B179 A175:A178">
    <cfRule type="expression" dxfId="27" priority="11" stopIfTrue="1">
      <formula>OR($U$146&lt;#REF!)</formula>
    </cfRule>
  </conditionalFormatting>
  <conditionalFormatting sqref="A132:B132">
    <cfRule type="expression" dxfId="26" priority="9" stopIfTrue="1">
      <formula>OR($U$146&lt;#REF!)</formula>
    </cfRule>
  </conditionalFormatting>
  <conditionalFormatting sqref="M94:U95">
    <cfRule type="expression" dxfId="25" priority="4">
      <formula>U129&gt;_Z2P</formula>
    </cfRule>
    <cfRule type="expression" dxfId="24" priority="8">
      <formula>U129&lt;=_Z2P</formula>
    </cfRule>
  </conditionalFormatting>
  <conditionalFormatting sqref="Q131:Z132">
    <cfRule type="expression" dxfId="23" priority="466">
      <formula>U129&gt;S140</formula>
    </cfRule>
    <cfRule type="expression" dxfId="22" priority="467">
      <formula>U129&lt;=S140</formula>
    </cfRule>
  </conditionalFormatting>
  <conditionalFormatting sqref="M91:U92">
    <cfRule type="expression" dxfId="21" priority="582">
      <formula>S89&lt;=U49</formula>
    </cfRule>
    <cfRule type="expression" dxfId="20" priority="583">
      <formula>S89&gt;U49</formula>
    </cfRule>
  </conditionalFormatting>
  <conditionalFormatting sqref="L165:U167">
    <cfRule type="expression" dxfId="19" priority="593">
      <formula>I165&gt;(ArcResistance*E11)</formula>
    </cfRule>
    <cfRule type="expression" dxfId="18" priority="594">
      <formula>I165&lt;=(ArcResistance*CTR_PTR)</formula>
    </cfRule>
  </conditionalFormatting>
  <dataValidations count="3">
    <dataValidation type="list" allowBlank="1" showInputMessage="1" showErrorMessage="1" sqref="E15:F15 H101:I101 E17:F17" xr:uid="{00000000-0002-0000-0600-000000000000}">
      <formula1>$AA$313:$AA$324</formula1>
    </dataValidation>
    <dataValidation type="list" allowBlank="1" showInputMessage="1" showErrorMessage="1" sqref="H100:I100" xr:uid="{00000000-0002-0000-0600-000001000000}">
      <formula1>$AB$313:$AB$314</formula1>
    </dataValidation>
    <dataValidation type="list" allowBlank="1" showInputMessage="1" showErrorMessage="1" sqref="G236" xr:uid="{00000000-0002-0000-0600-000002000000}">
      <formula1>$AZ$282:$AZ$283</formula1>
    </dataValidation>
  </dataValidations>
  <printOptions horizontalCentered="1"/>
  <pageMargins left="0.7" right="0.7" top="0.75" bottom="0.75" header="0.3" footer="0.3"/>
  <pageSetup paperSize="17" scale="63" fitToHeight="0" orientation="landscape" r:id="rId1"/>
  <headerFooter alignWithMargins="0">
    <oddFooter>&amp;RFilename:&amp;F
Tab:&amp;A</oddFooter>
  </headerFooter>
  <rowBreaks count="2" manualBreakCount="2">
    <brk id="40" max="27" man="1"/>
    <brk id="141" max="27" man="1"/>
  </rowBreaks>
  <colBreaks count="1" manualBreakCount="1">
    <brk id="26" max="153" man="1"/>
  </colBreaks>
  <ignoredErrors>
    <ignoredError sqref="C170 K8 K10 I10 C129 E238" unlockedFormula="1"/>
  </ignoredErrors>
  <legacyDrawing r:id="rId2"/>
  <extLst>
    <ext xmlns:x14="http://schemas.microsoft.com/office/spreadsheetml/2009/9/main" uri="{78C0D931-6437-407d-A8EE-F0AAD7539E65}">
      <x14:conditionalFormattings>
        <x14:conditionalFormatting xmlns:xm="http://schemas.microsoft.com/office/excel/2006/main">
          <x14:cfRule type="expression" priority="1" id="{C2B3DDD3-131D-45D4-B980-1168F4BF2466}">
            <xm:f>'1) Data Entry'!$E$34  ="PRC-025-1"</xm:f>
            <x14:dxf>
              <fill>
                <patternFill patternType="darkGray">
                  <bgColor theme="1" tint="0.14996795556505021"/>
                </patternFill>
              </fill>
            </x14:dxf>
          </x14:cfRule>
          <xm:sqref>B162:Q163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B98"/>
  <sheetViews>
    <sheetView showGridLines="0" topLeftCell="A40" zoomScaleNormal="100" zoomScaleSheetLayoutView="100" workbookViewId="0">
      <selection activeCell="A81" sqref="A81"/>
    </sheetView>
  </sheetViews>
  <sheetFormatPr defaultColWidth="9.109375" defaultRowHeight="12.75" customHeight="1"/>
  <cols>
    <col min="1" max="1" width="20.6640625" style="64" customWidth="1"/>
    <col min="2" max="2" width="8.6640625" style="64" customWidth="1"/>
    <col min="3" max="3" width="7" style="64" customWidth="1"/>
    <col min="4" max="4" width="12" style="64" customWidth="1"/>
    <col min="5" max="5" width="6.109375" style="64" customWidth="1"/>
    <col min="6" max="6" width="9.6640625" style="64" customWidth="1"/>
    <col min="7" max="7" width="5.6640625" style="64" customWidth="1"/>
    <col min="8" max="8" width="9.6640625" style="64" customWidth="1"/>
    <col min="9" max="9" width="6.44140625" style="64" customWidth="1"/>
    <col min="10" max="10" width="9.6640625" style="64" customWidth="1"/>
    <col min="11" max="11" width="3.33203125" style="64" customWidth="1"/>
    <col min="12" max="12" width="9.6640625" style="64" customWidth="1"/>
    <col min="13" max="13" width="5.33203125" style="64" customWidth="1"/>
    <col min="14" max="14" width="9.6640625" style="64" customWidth="1"/>
    <col min="15" max="15" width="5.6640625" style="64" customWidth="1"/>
    <col min="16" max="16" width="9.6640625" style="64" customWidth="1"/>
    <col min="17" max="17" width="9.88671875" style="64" customWidth="1"/>
    <col min="18" max="18" width="9.6640625" style="64" customWidth="1"/>
    <col min="19" max="19" width="5.5546875" style="64" bestFit="1" customWidth="1"/>
    <col min="20" max="20" width="9.6640625" style="64" customWidth="1"/>
    <col min="21" max="21" width="2.6640625" style="64" customWidth="1"/>
    <col min="22" max="22" width="9.109375" style="64"/>
    <col min="23" max="23" width="2.6640625" style="64" customWidth="1"/>
    <col min="24" max="24" width="9.109375" style="64"/>
    <col min="25" max="25" width="9.109375" style="601"/>
    <col min="26" max="26" width="10.33203125" style="64" bestFit="1" customWidth="1"/>
    <col min="27" max="16384" width="9.109375" style="64"/>
  </cols>
  <sheetData>
    <row r="1" spans="1:25" s="238" customFormat="1" ht="16.5" customHeight="1">
      <c r="A1" s="1965" t="s">
        <v>992</v>
      </c>
      <c r="B1" s="1965"/>
      <c r="C1" s="1965"/>
      <c r="D1" s="1965"/>
      <c r="E1" s="1965"/>
      <c r="F1" s="1965"/>
      <c r="G1" s="1965"/>
      <c r="H1" s="1965"/>
      <c r="I1" s="1965"/>
      <c r="J1" s="1965"/>
      <c r="K1" s="1965"/>
      <c r="L1" s="1965"/>
      <c r="M1" s="1965"/>
      <c r="N1" s="1965"/>
      <c r="O1" s="1965"/>
      <c r="P1" s="1965"/>
      <c r="Q1" s="1965"/>
      <c r="R1" s="1965"/>
      <c r="S1" s="1965"/>
      <c r="T1" s="1965"/>
      <c r="U1" s="1965"/>
      <c r="V1" s="1965"/>
      <c r="W1" s="1965"/>
      <c r="X1" s="1965"/>
      <c r="Y1" s="608"/>
    </row>
    <row r="2" spans="1:25" ht="12.75" customHeight="1">
      <c r="A2" s="699"/>
      <c r="B2" s="239"/>
      <c r="C2" s="694"/>
      <c r="D2" s="694"/>
      <c r="E2" s="694"/>
      <c r="J2" s="240"/>
      <c r="K2" s="241"/>
    </row>
    <row r="3" spans="1:25" ht="12.75" customHeight="1">
      <c r="A3" s="699"/>
      <c r="B3" s="239"/>
      <c r="C3" s="694"/>
      <c r="D3" s="694"/>
      <c r="E3" s="694"/>
      <c r="J3" s="240"/>
      <c r="K3" s="241"/>
    </row>
    <row r="4" spans="1:25" ht="12.75" customHeight="1">
      <c r="C4" s="699" t="s">
        <v>993</v>
      </c>
      <c r="D4" s="1013">
        <f ca="1">HYPERLINK("#"&amp;CELL("address",Nominal_System_Voltage),Nominal_System_Voltage)</f>
        <v>0</v>
      </c>
      <c r="E4" s="1267" t="s">
        <v>373</v>
      </c>
      <c r="F4" s="1263" t="s">
        <v>994</v>
      </c>
      <c r="G4" s="1267"/>
      <c r="J4" s="54" t="s">
        <v>995</v>
      </c>
      <c r="K4" s="86"/>
      <c r="L4" s="1962">
        <f>Relay_Location</f>
        <v>0</v>
      </c>
      <c r="M4" s="1963"/>
      <c r="N4" s="1963"/>
      <c r="O4" s="1964"/>
      <c r="R4"/>
      <c r="S4"/>
      <c r="T4"/>
    </row>
    <row r="5" spans="1:25" ht="12.75" customHeight="1">
      <c r="C5" s="54" t="s">
        <v>996</v>
      </c>
      <c r="D5" s="1015">
        <f ca="1">HYPERLINK("#"&amp;CELL("address",'1) Data Entry'!CTR),'1) Data Entry'!CTR)</f>
        <v>0</v>
      </c>
      <c r="E5" s="149" t="s">
        <v>589</v>
      </c>
      <c r="F5" s="1263" t="s">
        <v>994</v>
      </c>
      <c r="G5" s="149"/>
      <c r="J5" s="54" t="s">
        <v>997</v>
      </c>
      <c r="K5" s="242" t="s">
        <v>365</v>
      </c>
      <c r="L5" s="1962">
        <f>Remote_Location</f>
        <v>0</v>
      </c>
      <c r="M5" s="1963"/>
      <c r="N5" s="1963"/>
      <c r="O5" s="1964"/>
      <c r="R5"/>
      <c r="S5"/>
      <c r="T5"/>
    </row>
    <row r="6" spans="1:25" ht="12.75" customHeight="1">
      <c r="C6" s="54" t="s">
        <v>998</v>
      </c>
      <c r="D6" s="1013">
        <f ca="1">HYPERLINK("#"&amp;CELL("address",'1) Data Entry'!PTR),'1) Data Entry'!PTR)</f>
        <v>0</v>
      </c>
      <c r="E6" s="149" t="s">
        <v>183</v>
      </c>
      <c r="F6" s="1263" t="s">
        <v>994</v>
      </c>
      <c r="G6" s="149"/>
      <c r="J6" s="54" t="s">
        <v>999</v>
      </c>
      <c r="K6" s="242" t="s">
        <v>365</v>
      </c>
      <c r="L6" s="243">
        <f>R_Pos</f>
        <v>0</v>
      </c>
      <c r="M6" s="64" t="s">
        <v>1000</v>
      </c>
      <c r="N6" s="1263" t="s">
        <v>994</v>
      </c>
      <c r="R6"/>
      <c r="S6"/>
      <c r="T6"/>
    </row>
    <row r="7" spans="1:25" ht="12.75" customHeight="1">
      <c r="C7" s="699" t="s">
        <v>1001</v>
      </c>
      <c r="D7" s="1013">
        <f ca="1">HYPERLINK("#"&amp;CELL("address",'1) Data Entry'!Line_Limit),'1) Data Entry'!Line_Limit)</f>
        <v>0</v>
      </c>
      <c r="E7" s="694" t="s">
        <v>69</v>
      </c>
      <c r="F7" s="1263" t="s">
        <v>994</v>
      </c>
      <c r="G7" s="694"/>
      <c r="J7" s="54" t="s">
        <v>1002</v>
      </c>
      <c r="K7" s="242" t="s">
        <v>365</v>
      </c>
      <c r="L7" s="243">
        <f>X_Pos</f>
        <v>0</v>
      </c>
      <c r="M7" s="64" t="s">
        <v>1000</v>
      </c>
      <c r="N7" s="1263" t="s">
        <v>994</v>
      </c>
      <c r="Q7" s="694"/>
    </row>
    <row r="8" spans="1:25" ht="12.75" customHeight="1">
      <c r="C8" s="699" t="s">
        <v>1003</v>
      </c>
      <c r="D8" s="1014" t="e">
        <f ca="1">HYPERLINK("#"&amp;CELL("address", CTR_PTR),CTR_PTR)</f>
        <v>#DIV/0!</v>
      </c>
      <c r="E8" s="694"/>
      <c r="F8" s="1263" t="s">
        <v>994</v>
      </c>
      <c r="G8" s="694"/>
      <c r="J8" s="54" t="s">
        <v>350</v>
      </c>
      <c r="K8" s="242" t="s">
        <v>365</v>
      </c>
      <c r="L8" s="243">
        <f>R_Zero</f>
        <v>0</v>
      </c>
      <c r="M8" s="64" t="s">
        <v>1000</v>
      </c>
      <c r="N8" s="1263" t="s">
        <v>994</v>
      </c>
    </row>
    <row r="9" spans="1:25" ht="12.75" customHeight="1">
      <c r="C9" s="699" t="s">
        <v>1004</v>
      </c>
      <c r="D9" s="1013">
        <f ca="1">HYPERLINK("#"&amp;CELL("address",Base_Ohms),Base_Ohms)</f>
        <v>0</v>
      </c>
      <c r="E9" s="1263" t="s">
        <v>190</v>
      </c>
      <c r="F9" s="1263" t="s">
        <v>994</v>
      </c>
      <c r="G9" s="694"/>
      <c r="J9" s="54" t="s">
        <v>351</v>
      </c>
      <c r="K9" s="242" t="s">
        <v>365</v>
      </c>
      <c r="L9" s="244">
        <f>X_Zero</f>
        <v>0</v>
      </c>
      <c r="M9" s="64" t="s">
        <v>1000</v>
      </c>
      <c r="N9" s="1263" t="s">
        <v>994</v>
      </c>
    </row>
    <row r="10" spans="1:25" ht="12.75" customHeight="1">
      <c r="C10" s="699"/>
      <c r="D10"/>
      <c r="E10"/>
      <c r="F10"/>
      <c r="G10"/>
      <c r="H10"/>
      <c r="J10" s="54" t="s">
        <v>1005</v>
      </c>
      <c r="K10" s="242" t="s">
        <v>365</v>
      </c>
      <c r="L10" s="245">
        <f>'6) Zone Imp'!$K$8</f>
        <v>0</v>
      </c>
      <c r="M10" s="767" t="s">
        <v>1006</v>
      </c>
      <c r="N10" s="1263" t="s">
        <v>994</v>
      </c>
    </row>
    <row r="11" spans="1:25" ht="12.75" customHeight="1">
      <c r="A11" s="699"/>
      <c r="B11" s="239"/>
      <c r="C11" s="694"/>
      <c r="D11" s="1263"/>
      <c r="E11" s="694"/>
      <c r="H11" s="54"/>
      <c r="I11" s="242"/>
      <c r="J11" s="246"/>
      <c r="K11" s="767"/>
      <c r="L11" s="1263"/>
    </row>
    <row r="12" spans="1:25" ht="6.75" customHeight="1">
      <c r="A12" s="1268"/>
      <c r="B12" s="247"/>
      <c r="C12" s="1269"/>
      <c r="D12" s="1269"/>
      <c r="E12" s="1269"/>
      <c r="F12" s="1269"/>
      <c r="G12" s="1269"/>
      <c r="H12" s="18"/>
      <c r="I12" s="18"/>
      <c r="J12" s="18"/>
      <c r="K12" s="18"/>
      <c r="L12" s="18"/>
      <c r="M12" s="18"/>
      <c r="N12" s="18"/>
      <c r="O12" s="18"/>
      <c r="P12" s="18"/>
      <c r="Q12" s="18"/>
      <c r="R12" s="18"/>
      <c r="S12" s="18"/>
      <c r="T12" s="18"/>
      <c r="U12" s="18"/>
      <c r="V12" s="18"/>
      <c r="W12" s="18"/>
      <c r="X12" s="18"/>
    </row>
    <row r="13" spans="1:25" s="252" customFormat="1" ht="15.75" customHeight="1">
      <c r="A13" s="248" t="s">
        <v>1007</v>
      </c>
      <c r="B13" s="248"/>
      <c r="C13" s="249"/>
      <c r="D13" s="249"/>
      <c r="E13" s="249"/>
      <c r="F13" s="250"/>
      <c r="G13" s="250"/>
      <c r="H13" s="251"/>
      <c r="I13" s="251"/>
      <c r="J13" s="249"/>
      <c r="K13" s="251"/>
      <c r="L13" s="251"/>
      <c r="M13" s="251"/>
      <c r="N13" s="251"/>
      <c r="P13" s="253"/>
      <c r="T13" s="254"/>
      <c r="Y13" s="601"/>
    </row>
    <row r="14" spans="1:25" s="213" customFormat="1" ht="12" customHeight="1">
      <c r="A14" s="65"/>
      <c r="B14" s="697" t="s">
        <v>1008</v>
      </c>
      <c r="C14" s="664" t="s">
        <v>538</v>
      </c>
      <c r="D14" s="1270">
        <f>L6</f>
        <v>0</v>
      </c>
      <c r="E14" s="1271" t="s">
        <v>1009</v>
      </c>
      <c r="F14" s="1270">
        <f>L7</f>
        <v>0</v>
      </c>
      <c r="G14" s="697" t="s">
        <v>858</v>
      </c>
      <c r="H14" s="697">
        <f ca="1">D9</f>
        <v>0</v>
      </c>
      <c r="I14" s="697" t="s">
        <v>536</v>
      </c>
      <c r="J14" s="1272" t="e">
        <f ca="1">($D$5/5)/$D$6</f>
        <v>#DIV/0!</v>
      </c>
      <c r="K14" s="664" t="s">
        <v>538</v>
      </c>
      <c r="L14" s="697">
        <f ca="1">D14*H14</f>
        <v>0</v>
      </c>
      <c r="M14" s="664" t="s">
        <v>1009</v>
      </c>
      <c r="N14" s="697">
        <f ca="1">H14*F14</f>
        <v>0</v>
      </c>
      <c r="O14" s="697" t="s">
        <v>858</v>
      </c>
      <c r="P14" s="1272" t="e">
        <f ca="1">($D$5/5)/$D$6</f>
        <v>#DIV/0!</v>
      </c>
      <c r="Q14" s="664" t="s">
        <v>365</v>
      </c>
      <c r="R14" s="697" t="e">
        <f ca="1">L14*P14</f>
        <v>#DIV/0!</v>
      </c>
      <c r="S14" s="664" t="s">
        <v>1009</v>
      </c>
      <c r="T14" s="1270" t="e">
        <f ca="1">P14*N14</f>
        <v>#DIV/0!</v>
      </c>
      <c r="U14" s="694"/>
      <c r="V14" s="694"/>
      <c r="W14" s="694"/>
      <c r="X14" s="694"/>
      <c r="Y14" s="601" t="s">
        <v>1010</v>
      </c>
    </row>
    <row r="15" spans="1:25" s="213" customFormat="1" ht="12" customHeight="1">
      <c r="A15" s="65"/>
      <c r="B15" s="65"/>
      <c r="C15" s="1273"/>
      <c r="D15" s="1273" t="s">
        <v>1011</v>
      </c>
      <c r="E15" s="1274" t="s">
        <v>1009</v>
      </c>
      <c r="F15" s="1273" t="s">
        <v>1012</v>
      </c>
      <c r="G15" s="1273"/>
      <c r="H15" s="697" t="s">
        <v>1013</v>
      </c>
      <c r="I15" s="697"/>
      <c r="J15" s="1273" t="s">
        <v>795</v>
      </c>
      <c r="K15" s="697"/>
      <c r="L15" s="1273" t="s">
        <v>1014</v>
      </c>
      <c r="M15" s="1274" t="s">
        <v>1009</v>
      </c>
      <c r="N15" s="1273" t="s">
        <v>1015</v>
      </c>
      <c r="O15" s="697"/>
      <c r="P15" s="1273" t="s">
        <v>795</v>
      </c>
      <c r="Q15" s="697"/>
      <c r="R15" s="1273" t="s">
        <v>1016</v>
      </c>
      <c r="S15" s="664" t="s">
        <v>1009</v>
      </c>
      <c r="T15" s="1273" t="s">
        <v>1017</v>
      </c>
      <c r="U15" s="694"/>
      <c r="V15" s="694"/>
      <c r="W15" s="694"/>
      <c r="X15" s="694"/>
      <c r="Y15" s="601"/>
    </row>
    <row r="16" spans="1:25" s="213" customFormat="1" ht="12" customHeight="1">
      <c r="A16" s="65"/>
      <c r="B16" s="694" t="s">
        <v>1018</v>
      </c>
      <c r="C16" s="1267"/>
      <c r="D16" s="1267"/>
      <c r="E16" s="1267"/>
      <c r="F16" s="1267"/>
      <c r="G16" s="1267"/>
      <c r="H16" s="694"/>
      <c r="I16" s="694"/>
      <c r="J16" s="1267"/>
      <c r="K16" s="694"/>
      <c r="L16" s="694"/>
      <c r="M16" s="694"/>
      <c r="N16" s="694"/>
      <c r="O16" s="694"/>
      <c r="P16" s="699"/>
      <c r="Q16" s="694"/>
      <c r="R16" s="694"/>
      <c r="S16" s="694"/>
      <c r="T16" s="1275"/>
      <c r="U16" s="694"/>
      <c r="V16" s="694"/>
      <c r="W16" s="694"/>
      <c r="X16" s="694"/>
      <c r="Y16" s="601"/>
    </row>
    <row r="17" spans="1:25" s="213" customFormat="1" ht="12.75" customHeight="1">
      <c r="A17" s="694"/>
      <c r="B17" s="697" t="s">
        <v>1019</v>
      </c>
      <c r="C17" s="664" t="s">
        <v>365</v>
      </c>
      <c r="D17" s="1276">
        <f>L6</f>
        <v>0</v>
      </c>
      <c r="E17" s="1277" t="s">
        <v>464</v>
      </c>
      <c r="F17" s="1276">
        <f>L7</f>
        <v>0</v>
      </c>
      <c r="G17" s="1278" t="s">
        <v>378</v>
      </c>
      <c r="H17" s="1279">
        <f>SQRT(D17^2+F17^2)</f>
        <v>0</v>
      </c>
      <c r="I17" s="694" t="s">
        <v>452</v>
      </c>
      <c r="J17" s="1280" t="e">
        <f>ATAN(F17/D17)*(180/PI())</f>
        <v>#DIV/0!</v>
      </c>
      <c r="K17" s="1281" t="s">
        <v>536</v>
      </c>
      <c r="L17" s="1280">
        <f ca="1">D9</f>
        <v>0</v>
      </c>
      <c r="M17" s="697" t="s">
        <v>536</v>
      </c>
      <c r="N17" s="1282" t="e">
        <f ca="1">D8</f>
        <v>#DIV/0!</v>
      </c>
      <c r="O17" s="1283" t="s">
        <v>365</v>
      </c>
      <c r="P17" s="1279">
        <f ca="1">H17*L17</f>
        <v>0</v>
      </c>
      <c r="Q17" s="1281" t="s">
        <v>536</v>
      </c>
      <c r="R17" s="1282" t="e">
        <f ca="1">D8</f>
        <v>#DIV/0!</v>
      </c>
      <c r="S17" s="1283" t="s">
        <v>365</v>
      </c>
      <c r="T17" s="1284" t="e">
        <f ca="1">P17*R17</f>
        <v>#DIV/0!</v>
      </c>
      <c r="U17" s="1281" t="s">
        <v>452</v>
      </c>
      <c r="V17" s="1280" t="e">
        <f>J17</f>
        <v>#DIV/0!</v>
      </c>
      <c r="W17" s="694"/>
      <c r="X17" s="694"/>
      <c r="Y17" s="601" t="s">
        <v>1020</v>
      </c>
    </row>
    <row r="18" spans="1:25" s="213" customFormat="1" ht="12.75" customHeight="1">
      <c r="A18" s="694"/>
      <c r="B18" s="697"/>
      <c r="C18" s="697"/>
      <c r="D18" s="1267" t="s">
        <v>1011</v>
      </c>
      <c r="E18" s="1285" t="s">
        <v>1009</v>
      </c>
      <c r="F18" s="1267" t="s">
        <v>1012</v>
      </c>
      <c r="G18" s="694"/>
      <c r="H18" s="697" t="s">
        <v>1021</v>
      </c>
      <c r="I18" s="694"/>
      <c r="J18" s="697" t="s">
        <v>1022</v>
      </c>
      <c r="K18" s="697"/>
      <c r="L18" s="697" t="s">
        <v>1013</v>
      </c>
      <c r="M18" s="697"/>
      <c r="N18" s="659" t="s">
        <v>795</v>
      </c>
      <c r="O18" s="1281"/>
      <c r="P18" s="697" t="s">
        <v>1023</v>
      </c>
      <c r="Q18" s="697"/>
      <c r="R18" s="659" t="s">
        <v>795</v>
      </c>
      <c r="S18" s="1281"/>
      <c r="T18" s="697" t="s">
        <v>1024</v>
      </c>
      <c r="U18" s="697"/>
      <c r="V18" s="697" t="s">
        <v>1022</v>
      </c>
      <c r="W18" s="694"/>
      <c r="X18" s="694"/>
      <c r="Y18" s="601"/>
    </row>
    <row r="19" spans="1:25" s="213" customFormat="1" ht="12.75" customHeight="1">
      <c r="A19" s="694"/>
      <c r="B19" s="694"/>
      <c r="C19" s="694"/>
      <c r="D19" s="694"/>
      <c r="E19" s="694"/>
      <c r="F19" s="1267"/>
      <c r="G19" s="1267"/>
      <c r="H19" s="697"/>
      <c r="I19" s="697"/>
      <c r="J19" s="1286"/>
      <c r="K19" s="1287"/>
      <c r="L19" s="1288"/>
      <c r="M19" s="694"/>
      <c r="N19" s="767"/>
      <c r="O19" s="694"/>
      <c r="P19" s="694"/>
      <c r="Q19" s="694"/>
      <c r="R19" s="694"/>
      <c r="S19" s="694"/>
      <c r="T19" s="1275"/>
      <c r="U19" s="694"/>
      <c r="V19" s="694"/>
      <c r="W19" s="694"/>
      <c r="X19" s="694"/>
      <c r="Y19" s="601"/>
    </row>
    <row r="20" spans="1:25" s="213" customFormat="1" ht="12.75" customHeight="1">
      <c r="A20" s="255"/>
      <c r="B20" s="373" t="s">
        <v>1025</v>
      </c>
      <c r="C20" s="664" t="s">
        <v>365</v>
      </c>
      <c r="D20" s="383" t="e">
        <f ca="1">ROUND(T17,2)</f>
        <v>#DIV/0!</v>
      </c>
      <c r="E20" s="65" t="s">
        <v>1026</v>
      </c>
      <c r="F20" s="694"/>
      <c r="G20" s="694"/>
      <c r="H20" s="271" t="s">
        <v>1027</v>
      </c>
      <c r="I20" s="257" t="s">
        <v>365</v>
      </c>
      <c r="J20" s="381" t="e">
        <f>ROUND(V17,1)</f>
        <v>#DIV/0!</v>
      </c>
      <c r="K20" s="65" t="s">
        <v>1028</v>
      </c>
      <c r="L20" s="694"/>
      <c r="M20" s="694"/>
      <c r="N20" s="258"/>
      <c r="O20" s="256"/>
      <c r="P20" s="694"/>
      <c r="Q20" s="694"/>
      <c r="R20" s="256"/>
      <c r="S20" s="694"/>
      <c r="T20" s="1275"/>
      <c r="U20" s="694"/>
      <c r="V20" s="694"/>
      <c r="W20" s="694"/>
      <c r="X20" s="694"/>
      <c r="Y20" s="601" t="s">
        <v>1029</v>
      </c>
    </row>
    <row r="21" spans="1:25" s="213" customFormat="1" ht="12.75" customHeight="1">
      <c r="A21" s="255"/>
      <c r="B21" s="255"/>
      <c r="C21" s="259"/>
      <c r="D21" s="259"/>
      <c r="E21" s="259"/>
      <c r="F21" s="1267"/>
      <c r="G21" s="1267"/>
      <c r="H21" s="694"/>
      <c r="I21" s="694"/>
      <c r="J21" s="694"/>
      <c r="K21" s="694"/>
      <c r="L21" s="694"/>
      <c r="M21" s="64"/>
      <c r="N21" s="64"/>
      <c r="O21" s="260"/>
      <c r="P21" s="261"/>
      <c r="Q21" s="260"/>
      <c r="R21" s="260"/>
      <c r="S21" s="694"/>
      <c r="T21" s="1275"/>
      <c r="U21" s="694"/>
      <c r="V21" s="694"/>
      <c r="W21" s="694"/>
      <c r="X21" s="694"/>
      <c r="Y21" s="601"/>
    </row>
    <row r="22" spans="1:25" s="213" customFormat="1" ht="15.75" customHeight="1">
      <c r="A22" s="248" t="s">
        <v>1030</v>
      </c>
      <c r="B22" s="248"/>
      <c r="C22" s="249"/>
      <c r="D22" s="249"/>
      <c r="E22" s="249"/>
      <c r="F22" s="250"/>
      <c r="G22" s="250"/>
      <c r="H22" s="251"/>
      <c r="I22" s="251"/>
      <c r="J22" s="249"/>
      <c r="K22" s="251"/>
      <c r="L22" s="251"/>
      <c r="M22" s="251"/>
      <c r="N22" s="251"/>
      <c r="O22" s="252"/>
      <c r="P22" s="253"/>
      <c r="Q22" s="252"/>
      <c r="R22" s="252"/>
      <c r="S22" s="694"/>
      <c r="T22" s="1275"/>
      <c r="U22" s="694"/>
      <c r="V22" s="694"/>
      <c r="W22" s="694"/>
      <c r="X22" s="694"/>
      <c r="Y22" s="601"/>
    </row>
    <row r="23" spans="1:25" s="213" customFormat="1" ht="12.75" customHeight="1">
      <c r="A23" s="694"/>
      <c r="B23" s="697" t="s">
        <v>1031</v>
      </c>
      <c r="C23" s="664" t="s">
        <v>538</v>
      </c>
      <c r="D23" s="1270">
        <f>L8</f>
        <v>0</v>
      </c>
      <c r="E23" s="1271" t="s">
        <v>1009</v>
      </c>
      <c r="F23" s="1270">
        <f>L9</f>
        <v>0</v>
      </c>
      <c r="G23" s="697" t="s">
        <v>858</v>
      </c>
      <c r="H23" s="697">
        <f ca="1">D9</f>
        <v>0</v>
      </c>
      <c r="I23" s="697" t="s">
        <v>536</v>
      </c>
      <c r="J23" s="1272" t="e">
        <f ca="1">($D$5/5)/$D$6</f>
        <v>#DIV/0!</v>
      </c>
      <c r="K23" s="664" t="s">
        <v>1032</v>
      </c>
      <c r="L23" s="697">
        <f ca="1">D23*H23</f>
        <v>0</v>
      </c>
      <c r="M23" s="664" t="s">
        <v>1009</v>
      </c>
      <c r="N23" s="697">
        <f ca="1">H23*F23</f>
        <v>0</v>
      </c>
      <c r="O23" s="697" t="s">
        <v>858</v>
      </c>
      <c r="P23" s="1272" t="e">
        <f ca="1">($D$5/5)/$D$6</f>
        <v>#DIV/0!</v>
      </c>
      <c r="Q23" s="664" t="s">
        <v>365</v>
      </c>
      <c r="R23" s="697" t="e">
        <f ca="1">L23*P23</f>
        <v>#DIV/0!</v>
      </c>
      <c r="S23" s="664" t="s">
        <v>1009</v>
      </c>
      <c r="T23" s="1270" t="e">
        <f ca="1">P23*N23</f>
        <v>#DIV/0!</v>
      </c>
      <c r="U23" s="697"/>
      <c r="V23" s="694"/>
      <c r="W23" s="694"/>
      <c r="X23" s="694"/>
      <c r="Y23" s="601" t="s">
        <v>1033</v>
      </c>
    </row>
    <row r="24" spans="1:25" s="213" customFormat="1" ht="12.75" customHeight="1">
      <c r="A24" s="694"/>
      <c r="B24" s="694"/>
      <c r="C24" s="1273"/>
      <c r="D24" s="1273" t="s">
        <v>1034</v>
      </c>
      <c r="E24" s="1274" t="s">
        <v>1009</v>
      </c>
      <c r="F24" s="1273" t="s">
        <v>1035</v>
      </c>
      <c r="G24" s="1273"/>
      <c r="H24" s="697" t="s">
        <v>1013</v>
      </c>
      <c r="I24" s="697"/>
      <c r="J24" s="1273" t="s">
        <v>795</v>
      </c>
      <c r="K24" s="697"/>
      <c r="L24" s="1273" t="s">
        <v>1036</v>
      </c>
      <c r="M24" s="1274" t="s">
        <v>1009</v>
      </c>
      <c r="N24" s="1273" t="s">
        <v>1037</v>
      </c>
      <c r="O24" s="697"/>
      <c r="P24" s="1273" t="s">
        <v>795</v>
      </c>
      <c r="Q24" s="697"/>
      <c r="R24" s="1273" t="s">
        <v>1038</v>
      </c>
      <c r="S24" s="664" t="s">
        <v>1009</v>
      </c>
      <c r="T24" s="1273" t="s">
        <v>1039</v>
      </c>
      <c r="U24" s="697"/>
      <c r="V24" s="694"/>
      <c r="W24" s="694"/>
      <c r="X24" s="694"/>
      <c r="Y24" s="601"/>
    </row>
    <row r="25" spans="1:25" s="213" customFormat="1" ht="12.75" customHeight="1">
      <c r="A25" s="255"/>
      <c r="B25" s="1263" t="s">
        <v>1040</v>
      </c>
      <c r="C25" s="255"/>
      <c r="D25" s="255"/>
      <c r="E25" s="255"/>
      <c r="F25" s="259"/>
      <c r="G25" s="259"/>
      <c r="H25" s="1232"/>
      <c r="I25" s="1232"/>
      <c r="J25" s="694"/>
      <c r="K25" s="694"/>
      <c r="L25" s="694"/>
      <c r="M25" s="694"/>
      <c r="N25" s="1289" t="s">
        <v>1041</v>
      </c>
      <c r="O25" s="694"/>
      <c r="P25" s="694"/>
      <c r="Q25" s="64"/>
      <c r="R25" s="694"/>
      <c r="S25" s="694"/>
      <c r="T25" s="1275"/>
      <c r="U25" s="694"/>
      <c r="V25" s="694"/>
      <c r="W25" s="694"/>
      <c r="X25" s="694"/>
      <c r="Y25" s="601"/>
    </row>
    <row r="26" spans="1:25" s="213" customFormat="1" ht="12.75" customHeight="1">
      <c r="A26" s="255"/>
      <c r="B26" s="1232" t="s">
        <v>1042</v>
      </c>
      <c r="C26" s="664" t="s">
        <v>365</v>
      </c>
      <c r="D26" s="1276">
        <f>L8</f>
        <v>0</v>
      </c>
      <c r="E26" s="1277" t="s">
        <v>464</v>
      </c>
      <c r="F26" s="1276">
        <f>L9</f>
        <v>0</v>
      </c>
      <c r="G26" s="1278" t="s">
        <v>378</v>
      </c>
      <c r="H26" s="262">
        <f>SQRT(D26^2+F26^2)</f>
        <v>0</v>
      </c>
      <c r="I26" s="263" t="s">
        <v>452</v>
      </c>
      <c r="J26" s="264" t="e">
        <f>ATAN(F26/D26)*(180/PI())</f>
        <v>#DIV/0!</v>
      </c>
      <c r="K26" s="86" t="s">
        <v>536</v>
      </c>
      <c r="L26" s="265">
        <f ca="1">D9</f>
        <v>0</v>
      </c>
      <c r="M26" s="694" t="s">
        <v>536</v>
      </c>
      <c r="N26" s="265" t="e">
        <f ca="1">D8</f>
        <v>#DIV/0!</v>
      </c>
      <c r="O26" s="266" t="s">
        <v>365</v>
      </c>
      <c r="P26" s="1279">
        <f ca="1">H26*L26</f>
        <v>0</v>
      </c>
      <c r="Q26" s="263" t="s">
        <v>536</v>
      </c>
      <c r="R26" s="265" t="e">
        <f ca="1">D8</f>
        <v>#DIV/0!</v>
      </c>
      <c r="S26" s="1278" t="s">
        <v>365</v>
      </c>
      <c r="T26" s="1290" t="e">
        <f ca="1">P26*R26</f>
        <v>#DIV/0!</v>
      </c>
      <c r="U26" s="263" t="s">
        <v>452</v>
      </c>
      <c r="V26" s="264" t="e">
        <f>J26</f>
        <v>#DIV/0!</v>
      </c>
      <c r="W26" s="694"/>
      <c r="X26" s="694"/>
      <c r="Y26" s="601" t="s">
        <v>1043</v>
      </c>
    </row>
    <row r="27" spans="1:25" s="213" customFormat="1" ht="12.75" customHeight="1">
      <c r="A27" s="255"/>
      <c r="B27" s="1232"/>
      <c r="C27" s="241"/>
      <c r="D27" s="1267" t="s">
        <v>1034</v>
      </c>
      <c r="E27" s="1285" t="s">
        <v>1009</v>
      </c>
      <c r="F27" s="1267" t="s">
        <v>1044</v>
      </c>
      <c r="G27" s="694"/>
      <c r="H27" s="1232" t="s">
        <v>1045</v>
      </c>
      <c r="I27" s="1291"/>
      <c r="J27" s="1292" t="s">
        <v>1046</v>
      </c>
      <c r="K27" s="1232"/>
      <c r="L27" s="1289" t="s">
        <v>1013</v>
      </c>
      <c r="M27" s="1263"/>
      <c r="N27" s="1289" t="s">
        <v>795</v>
      </c>
      <c r="O27" s="1291"/>
      <c r="P27" s="1232" t="s">
        <v>1047</v>
      </c>
      <c r="Q27" s="1232"/>
      <c r="R27" s="1289" t="s">
        <v>795</v>
      </c>
      <c r="S27" s="1263"/>
      <c r="T27" s="1232" t="s">
        <v>1048</v>
      </c>
      <c r="U27" s="1232"/>
      <c r="V27" s="1232" t="s">
        <v>1046</v>
      </c>
      <c r="W27" s="694"/>
      <c r="X27" s="694"/>
      <c r="Y27" s="601"/>
    </row>
    <row r="28" spans="1:25" s="213" customFormat="1" ht="12.75" customHeight="1">
      <c r="A28" s="255"/>
      <c r="B28" s="1232"/>
      <c r="C28" s="241"/>
      <c r="D28" s="1232"/>
      <c r="E28" s="1232"/>
      <c r="F28" s="1232"/>
      <c r="G28" s="1232"/>
      <c r="H28" s="1289"/>
      <c r="I28" s="694"/>
      <c r="J28" s="1289"/>
      <c r="K28" s="1291"/>
      <c r="L28" s="1232"/>
      <c r="M28" s="1232"/>
      <c r="N28" s="1232"/>
      <c r="O28" s="694"/>
      <c r="P28" s="694"/>
      <c r="Q28" s="694"/>
      <c r="R28" s="694"/>
      <c r="S28" s="694"/>
      <c r="T28" s="1275"/>
      <c r="U28" s="694"/>
      <c r="V28" s="694"/>
      <c r="W28" s="694"/>
      <c r="X28" s="694"/>
      <c r="Y28" s="601"/>
    </row>
    <row r="29" spans="1:25" s="213" customFormat="1" ht="12.75" customHeight="1">
      <c r="A29" s="255"/>
      <c r="B29" s="375" t="s">
        <v>1049</v>
      </c>
      <c r="C29" s="267" t="s">
        <v>365</v>
      </c>
      <c r="D29" s="383" t="e">
        <f ca="1">ROUND(T26,2)</f>
        <v>#DIV/0!</v>
      </c>
      <c r="E29" s="65" t="s">
        <v>1026</v>
      </c>
      <c r="F29" s="694"/>
      <c r="G29" s="694"/>
      <c r="H29" s="376" t="s">
        <v>1050</v>
      </c>
      <c r="I29" s="378" t="s">
        <v>365</v>
      </c>
      <c r="J29" s="381" t="e">
        <f>ROUND(V26,1)</f>
        <v>#DIV/0!</v>
      </c>
      <c r="K29" s="65" t="s">
        <v>1028</v>
      </c>
      <c r="L29" s="694"/>
      <c r="M29" s="65"/>
      <c r="N29" s="268"/>
      <c r="O29" s="65"/>
      <c r="P29" s="694"/>
      <c r="Q29" s="694"/>
      <c r="R29" s="256"/>
      <c r="S29" s="694"/>
      <c r="T29" s="1275"/>
      <c r="U29" s="694"/>
      <c r="V29" s="694"/>
      <c r="W29" s="694"/>
      <c r="X29" s="694"/>
      <c r="Y29" s="601" t="s">
        <v>1051</v>
      </c>
    </row>
    <row r="30" spans="1:25" s="213" customFormat="1" ht="12.75" customHeight="1">
      <c r="A30" s="255"/>
      <c r="B30" s="255"/>
      <c r="C30" s="259"/>
      <c r="D30" s="259"/>
      <c r="E30" s="259"/>
      <c r="F30" s="1267"/>
      <c r="G30" s="1267"/>
      <c r="H30" s="255"/>
      <c r="I30" s="255"/>
      <c r="J30" s="64"/>
      <c r="K30" s="64"/>
      <c r="L30" s="694"/>
      <c r="M30" s="694"/>
      <c r="N30" s="694"/>
      <c r="O30" s="694"/>
      <c r="P30" s="767"/>
      <c r="Q30" s="260"/>
      <c r="R30" s="260"/>
      <c r="S30" s="694"/>
      <c r="T30" s="1275"/>
      <c r="U30" s="694"/>
      <c r="V30" s="694"/>
      <c r="W30" s="694"/>
      <c r="X30" s="694"/>
      <c r="Y30" s="601"/>
    </row>
    <row r="31" spans="1:25" ht="15.6">
      <c r="A31" s="269" t="s">
        <v>1052</v>
      </c>
      <c r="B31" s="269"/>
      <c r="C31" s="270"/>
      <c r="D31" s="270"/>
      <c r="E31" s="270"/>
      <c r="F31" s="270"/>
      <c r="G31" s="270"/>
      <c r="H31" s="694" t="s">
        <v>1053</v>
      </c>
      <c r="I31" s="270"/>
      <c r="J31" s="270"/>
      <c r="K31" s="270"/>
      <c r="L31" s="270"/>
      <c r="M31" s="270"/>
      <c r="N31" s="270"/>
      <c r="O31" s="270"/>
      <c r="P31" s="270"/>
      <c r="Q31" s="270"/>
      <c r="R31" s="270"/>
      <c r="S31" s="270"/>
    </row>
    <row r="32" spans="1:25" ht="12.75" customHeight="1">
      <c r="A32" s="649" t="s">
        <v>1054</v>
      </c>
      <c r="B32" s="651" t="s">
        <v>1055</v>
      </c>
      <c r="C32" s="651"/>
      <c r="D32" s="1967" t="s">
        <v>958</v>
      </c>
      <c r="E32" s="662">
        <v>1</v>
      </c>
      <c r="F32" s="655" t="s">
        <v>1056</v>
      </c>
      <c r="G32" s="291" t="e">
        <f ca="1">T26</f>
        <v>#DIV/0!</v>
      </c>
      <c r="H32" s="656" t="s">
        <v>1057</v>
      </c>
      <c r="I32" s="661" t="e">
        <f>J29</f>
        <v>#DIV/0!</v>
      </c>
      <c r="J32" s="657"/>
      <c r="K32" s="1967" t="s">
        <v>958</v>
      </c>
      <c r="L32" s="662">
        <v>1</v>
      </c>
      <c r="M32" s="657"/>
      <c r="N32" s="655" t="s">
        <v>1056</v>
      </c>
      <c r="O32" s="658" t="e">
        <f ca="1">G32/(3*H33)</f>
        <v>#DIV/0!</v>
      </c>
      <c r="P32" s="656" t="s">
        <v>1057</v>
      </c>
      <c r="Q32" s="1293" t="e">
        <f>I32-J33</f>
        <v>#DIV/0!</v>
      </c>
      <c r="R32" s="659" t="s">
        <v>958</v>
      </c>
      <c r="S32" s="654">
        <f>1/3</f>
        <v>0.33333333333333331</v>
      </c>
      <c r="T32" s="1293"/>
      <c r="Y32" s="601" t="s">
        <v>1058</v>
      </c>
    </row>
    <row r="33" spans="1:28" ht="12.75" customHeight="1">
      <c r="B33" s="650" t="s">
        <v>1059</v>
      </c>
      <c r="C33" s="652"/>
      <c r="D33" s="1967"/>
      <c r="E33" s="1294">
        <v>3</v>
      </c>
      <c r="F33" s="657"/>
      <c r="G33" s="658" t="str">
        <f>"3 * "</f>
        <v xml:space="preserve">3 * </v>
      </c>
      <c r="H33" s="653" t="e">
        <f ca="1">T17</f>
        <v>#DIV/0!</v>
      </c>
      <c r="I33" s="1293" t="s">
        <v>1057</v>
      </c>
      <c r="J33" s="1295" t="e">
        <f>J20</f>
        <v>#DIV/0!</v>
      </c>
      <c r="K33" s="1967"/>
      <c r="L33" s="1294">
        <v>3</v>
      </c>
      <c r="M33" s="657"/>
      <c r="N33" s="657"/>
      <c r="O33" s="657"/>
      <c r="P33" s="657"/>
      <c r="Q33" s="657"/>
      <c r="R33" s="648"/>
      <c r="S33" s="657"/>
      <c r="T33" s="657"/>
    </row>
    <row r="34" spans="1:28" ht="12.75" customHeight="1">
      <c r="D34" s="1286"/>
      <c r="E34" s="1289"/>
      <c r="F34" s="1286"/>
      <c r="G34" s="648"/>
      <c r="H34" s="1286"/>
      <c r="I34" s="1289"/>
      <c r="J34" s="1286"/>
      <c r="K34" s="657"/>
      <c r="L34" s="1286"/>
      <c r="M34" s="1289"/>
      <c r="N34" s="655" t="s">
        <v>1056</v>
      </c>
      <c r="O34" s="291" t="e">
        <f ca="1">O32*COS(RADIANS(Q32))-S32</f>
        <v>#DIV/0!</v>
      </c>
      <c r="P34" s="660" t="s">
        <v>464</v>
      </c>
      <c r="Q34" s="654" t="e">
        <f ca="1">O32*SIN(RADIANS(Q32))</f>
        <v>#DIV/0!</v>
      </c>
      <c r="R34" s="1286"/>
      <c r="S34" s="657"/>
      <c r="T34" s="657"/>
      <c r="Y34" s="601" t="s">
        <v>1060</v>
      </c>
    </row>
    <row r="35" spans="1:28" ht="12.75" customHeight="1">
      <c r="D35" s="657"/>
      <c r="E35" s="657"/>
      <c r="F35" s="1286"/>
      <c r="G35" s="648"/>
      <c r="H35" s="1286"/>
      <c r="I35" s="1289"/>
      <c r="J35" s="1286"/>
      <c r="K35" s="657"/>
      <c r="L35" s="1286"/>
      <c r="M35" s="1289"/>
      <c r="N35" s="1286"/>
      <c r="O35" s="1296" t="s">
        <v>1061</v>
      </c>
      <c r="P35" s="657"/>
      <c r="Q35" s="1289" t="s">
        <v>1062</v>
      </c>
      <c r="R35" s="1286"/>
      <c r="S35" s="657"/>
      <c r="T35" s="657"/>
      <c r="Y35" s="64"/>
    </row>
    <row r="36" spans="1:28" ht="12.75" customHeight="1">
      <c r="D36" s="657"/>
      <c r="E36" s="657"/>
      <c r="F36" s="1286"/>
      <c r="G36" s="648"/>
      <c r="H36" s="1286"/>
      <c r="I36" s="1289"/>
      <c r="J36" s="1286"/>
      <c r="K36" s="657"/>
      <c r="L36" s="657"/>
      <c r="M36" s="1297"/>
      <c r="N36" s="657"/>
      <c r="O36" s="657"/>
      <c r="P36" s="657"/>
      <c r="Q36" s="657"/>
      <c r="R36" s="657"/>
      <c r="S36" s="657"/>
      <c r="T36" s="657"/>
    </row>
    <row r="37" spans="1:28" ht="12.75" customHeight="1">
      <c r="A37" s="54" t="s">
        <v>1063</v>
      </c>
      <c r="B37" s="374" t="s">
        <v>1064</v>
      </c>
      <c r="C37" s="242" t="s">
        <v>365</v>
      </c>
      <c r="D37" s="382" t="e">
        <f ca="1">SQRT(O34^2+Q34^2)</f>
        <v>#DIV/0!</v>
      </c>
      <c r="E37" s="659" t="s">
        <v>1065</v>
      </c>
      <c r="H37" s="377" t="s">
        <v>1066</v>
      </c>
      <c r="I37" s="1283" t="s">
        <v>365</v>
      </c>
      <c r="J37" s="383" t="e">
        <f ca="1">DEGREES(ATAN(Q34/O34))</f>
        <v>#DIV/0!</v>
      </c>
      <c r="K37" s="268" t="s">
        <v>1028</v>
      </c>
      <c r="L37" s="86"/>
      <c r="M37" s="242"/>
      <c r="N37" s="86"/>
      <c r="Y37" s="601" t="s">
        <v>1067</v>
      </c>
    </row>
    <row r="38" spans="1:28" s="147" customFormat="1" ht="12.75" customHeight="1">
      <c r="A38" s="1298"/>
      <c r="B38" s="1263"/>
      <c r="C38" s="1299"/>
      <c r="D38" s="380" t="s">
        <v>1068</v>
      </c>
      <c r="E38" s="272"/>
      <c r="F38" s="1263"/>
      <c r="G38" s="1263"/>
      <c r="H38" s="272"/>
      <c r="I38" s="273"/>
      <c r="J38" s="379" t="s">
        <v>1069</v>
      </c>
      <c r="K38" s="274"/>
      <c r="L38" s="1263"/>
      <c r="M38" s="1263"/>
      <c r="N38" s="1263"/>
      <c r="O38" s="1263"/>
      <c r="P38" s="1263"/>
      <c r="Q38" s="1263"/>
      <c r="R38" s="1263"/>
      <c r="S38" s="1263"/>
      <c r="T38" s="1263"/>
      <c r="U38" s="1263"/>
      <c r="V38" s="1263"/>
      <c r="W38" s="1263"/>
      <c r="X38" s="1263"/>
      <c r="Y38" s="601"/>
      <c r="Z38" s="1263"/>
      <c r="AA38" s="1263"/>
      <c r="AB38" s="1263"/>
    </row>
    <row r="39" spans="1:28" ht="12.75" customHeight="1">
      <c r="A39" s="64" t="s">
        <v>1070</v>
      </c>
      <c r="O39" s="89"/>
      <c r="P39" s="89"/>
    </row>
    <row r="40" spans="1:28" ht="12.75" customHeight="1">
      <c r="B40" s="86" t="s">
        <v>1071</v>
      </c>
      <c r="C40" s="664" t="s">
        <v>365</v>
      </c>
      <c r="D40" s="659" t="e">
        <f ca="1">1+O34</f>
        <v>#DIV/0!</v>
      </c>
      <c r="E40" s="1278" t="s">
        <v>1009</v>
      </c>
      <c r="F40" s="697" t="e">
        <f ca="1">Q34</f>
        <v>#DIV/0!</v>
      </c>
      <c r="G40" s="664" t="s">
        <v>365</v>
      </c>
      <c r="H40" s="663" t="e">
        <f ca="1">SQRT(D40^2+F40^2)</f>
        <v>#DIV/0!</v>
      </c>
      <c r="I40" s="1300" t="s">
        <v>452</v>
      </c>
      <c r="J40" s="280" t="e">
        <f ca="1">DEGREES(ATAN(F40/D40))</f>
        <v>#DIV/0!</v>
      </c>
      <c r="K40" s="694"/>
      <c r="L40" s="694"/>
      <c r="M40" s="664"/>
      <c r="Y40" s="601" t="s">
        <v>1072</v>
      </c>
    </row>
    <row r="41" spans="1:28" s="147" customFormat="1" ht="12.75" customHeight="1">
      <c r="A41" s="1263"/>
      <c r="B41" s="1263"/>
      <c r="C41" s="1263"/>
      <c r="D41" s="1232" t="s">
        <v>1073</v>
      </c>
      <c r="E41" s="1299"/>
      <c r="F41" s="1232" t="s">
        <v>1062</v>
      </c>
      <c r="G41" s="1232"/>
      <c r="H41" s="1232" t="s">
        <v>1074</v>
      </c>
      <c r="I41" s="1301"/>
      <c r="J41" s="1301" t="s">
        <v>1075</v>
      </c>
      <c r="K41" s="1232"/>
      <c r="L41" s="1232"/>
      <c r="M41" s="1232"/>
      <c r="N41" s="1263"/>
      <c r="O41" s="1263"/>
      <c r="P41" s="1263"/>
      <c r="Q41" s="1263"/>
      <c r="R41" s="1263"/>
      <c r="S41" s="1263"/>
      <c r="T41" s="1263"/>
      <c r="U41" s="1263"/>
      <c r="V41" s="1263"/>
      <c r="W41" s="1263"/>
      <c r="X41" s="1263"/>
      <c r="Y41" s="601"/>
      <c r="Z41" s="1263"/>
      <c r="AA41" s="1263"/>
      <c r="AB41" s="614"/>
    </row>
    <row r="42" spans="1:28" s="147" customFormat="1" ht="12.75" customHeight="1">
      <c r="A42" s="1263"/>
      <c r="B42" s="1263"/>
      <c r="C42" s="1263"/>
      <c r="D42" s="1232"/>
      <c r="E42" s="1299"/>
      <c r="F42" s="1232"/>
      <c r="G42" s="1232"/>
      <c r="H42" s="1232"/>
      <c r="I42" s="1301"/>
      <c r="J42" s="1301"/>
      <c r="K42" s="1232"/>
      <c r="L42" s="1232"/>
      <c r="M42" s="1232"/>
      <c r="N42" s="1263"/>
      <c r="O42" s="1263"/>
      <c r="P42" s="1263"/>
      <c r="Q42" s="1263"/>
      <c r="R42" s="1263"/>
      <c r="S42" s="1263"/>
      <c r="T42" s="1263"/>
      <c r="U42" s="1263"/>
      <c r="V42" s="1263"/>
      <c r="W42" s="1263"/>
      <c r="X42" s="1263"/>
      <c r="Y42" s="601"/>
      <c r="Z42" s="1263"/>
      <c r="AA42" s="1263"/>
      <c r="AB42" s="1263"/>
    </row>
    <row r="43" spans="1:28" ht="12.75" customHeight="1">
      <c r="Y43" s="608"/>
    </row>
    <row r="44" spans="1:28" ht="18" customHeight="1">
      <c r="A44" s="275" t="s">
        <v>1076</v>
      </c>
      <c r="B44" s="1269"/>
      <c r="C44" s="1269"/>
      <c r="D44" s="276"/>
      <c r="E44" s="276"/>
      <c r="F44" s="17"/>
      <c r="G44" s="17"/>
      <c r="H44" s="1269"/>
      <c r="I44" s="1269"/>
      <c r="J44" s="1269"/>
      <c r="K44" s="1269"/>
      <c r="L44" s="18"/>
      <c r="M44" s="18"/>
      <c r="N44" s="18"/>
      <c r="O44" s="18"/>
      <c r="P44" s="18"/>
      <c r="Q44" s="18"/>
      <c r="R44" s="18"/>
      <c r="S44" s="18"/>
      <c r="T44" s="18"/>
      <c r="U44" s="18"/>
      <c r="V44" s="18"/>
      <c r="W44" s="18"/>
      <c r="X44" s="18"/>
      <c r="Z44" s="614" t="s">
        <v>1077</v>
      </c>
    </row>
    <row r="45" spans="1:28" ht="12.75" customHeight="1">
      <c r="A45" s="277" t="s">
        <v>1078</v>
      </c>
      <c r="B45" s="65" t="e">
        <f ca="1">D8</f>
        <v>#DIV/0!</v>
      </c>
      <c r="C45" s="694"/>
      <c r="D45" s="697" t="s">
        <v>1079</v>
      </c>
      <c r="E45" s="664" t="s">
        <v>365</v>
      </c>
      <c r="F45" s="697" t="s">
        <v>1080</v>
      </c>
      <c r="G45" s="664" t="s">
        <v>620</v>
      </c>
      <c r="H45" s="697" t="s">
        <v>1081</v>
      </c>
      <c r="I45" s="694"/>
      <c r="L45" s="86" t="s">
        <v>1082</v>
      </c>
      <c r="M45" s="278" t="s">
        <v>365</v>
      </c>
      <c r="N45" s="279" t="s">
        <v>1083</v>
      </c>
      <c r="O45" s="242" t="s">
        <v>620</v>
      </c>
      <c r="P45" s="86" t="s">
        <v>1084</v>
      </c>
      <c r="R45" s="277" t="s">
        <v>1085</v>
      </c>
      <c r="S45" s="280" t="e">
        <f ca="1">D20</f>
        <v>#DIV/0!</v>
      </c>
      <c r="Y45" s="601" t="s">
        <v>1086</v>
      </c>
    </row>
    <row r="46" spans="1:28" ht="12.75" customHeight="1">
      <c r="C46" s="694"/>
      <c r="D46" s="697"/>
      <c r="E46" s="664"/>
      <c r="F46" s="697"/>
      <c r="G46" s="664"/>
      <c r="H46" s="697"/>
      <c r="I46" s="694"/>
      <c r="L46" s="86"/>
      <c r="M46" s="278"/>
      <c r="N46" s="279"/>
      <c r="O46" s="242"/>
      <c r="P46" s="86"/>
    </row>
    <row r="47" spans="1:28" ht="12.75" customHeight="1">
      <c r="A47" s="767"/>
      <c r="B47" s="268"/>
      <c r="C47" s="65"/>
      <c r="D47" s="65"/>
      <c r="E47" s="694"/>
      <c r="F47" s="694"/>
      <c r="G47" s="1278"/>
      <c r="H47" s="694"/>
      <c r="I47" s="1278"/>
      <c r="J47" s="694"/>
      <c r="K47" s="694"/>
      <c r="O47" s="281"/>
      <c r="P47" s="89"/>
      <c r="Q47" s="149"/>
    </row>
    <row r="48" spans="1:28" ht="12.75" customHeight="1">
      <c r="A48" s="282" t="s">
        <v>1087</v>
      </c>
      <c r="B48" s="282"/>
      <c r="D48" s="282"/>
      <c r="E48" s="282"/>
      <c r="F48" s="282"/>
      <c r="G48" s="282"/>
      <c r="P48" s="282" t="s">
        <v>1088</v>
      </c>
      <c r="Q48" s="282"/>
      <c r="R48" s="282"/>
      <c r="S48" s="282"/>
    </row>
    <row r="49" spans="1:26" ht="15.75" customHeight="1">
      <c r="A49" s="269"/>
      <c r="B49" s="282"/>
      <c r="D49" s="282"/>
      <c r="E49" s="282"/>
      <c r="F49" s="282"/>
      <c r="G49" s="282"/>
      <c r="P49" s="282"/>
      <c r="Q49" s="282"/>
      <c r="R49" s="282"/>
      <c r="S49" s="282"/>
    </row>
    <row r="50" spans="1:26" ht="12.75" customHeight="1">
      <c r="A50" s="54" t="s">
        <v>1089</v>
      </c>
      <c r="B50" s="86" t="s">
        <v>1090</v>
      </c>
      <c r="C50" s="697"/>
      <c r="D50" s="697" t="s">
        <v>1091</v>
      </c>
      <c r="E50" s="697"/>
      <c r="F50" s="64" t="s">
        <v>1092</v>
      </c>
      <c r="G50" s="86"/>
      <c r="H50" s="64" t="s">
        <v>1093</v>
      </c>
      <c r="J50" s="86" t="s">
        <v>1094</v>
      </c>
      <c r="L50" s="86" t="s">
        <v>1095</v>
      </c>
      <c r="N50" s="64" t="s">
        <v>1096</v>
      </c>
      <c r="P50" s="85" t="s">
        <v>1097</v>
      </c>
      <c r="R50" s="85" t="s">
        <v>1098</v>
      </c>
      <c r="S50" s="86"/>
    </row>
    <row r="51" spans="1:26" ht="12.75" customHeight="1">
      <c r="A51" s="1302" t="s">
        <v>1099</v>
      </c>
      <c r="B51" s="384" t="s">
        <v>1100</v>
      </c>
      <c r="C51" s="1303" t="s">
        <v>365</v>
      </c>
      <c r="D51" s="246" t="e">
        <f ca="1">'6) Zone Imp'!S39</f>
        <v>#DIV/0!</v>
      </c>
      <c r="E51" s="1300" t="s">
        <v>1101</v>
      </c>
      <c r="F51" s="1008"/>
      <c r="G51" s="149" t="s">
        <v>378</v>
      </c>
      <c r="H51" s="283" t="e">
        <f ca="1">IF(D51="NA",0,ROUND((IF(F51=0,D51,F51)),2))</f>
        <v>#DIV/0!</v>
      </c>
      <c r="I51" s="149" t="s">
        <v>378</v>
      </c>
      <c r="J51" s="1300" t="e">
        <f ca="1">H51/$B$45</f>
        <v>#DIV/0!</v>
      </c>
      <c r="K51" s="64" t="s">
        <v>452</v>
      </c>
      <c r="L51" s="1304" t="e">
        <f>ROUND(J20,1)</f>
        <v>#DIV/0!</v>
      </c>
      <c r="M51" s="694"/>
      <c r="N51" s="1304" t="e">
        <f ca="1">(H51/$S$45)*100</f>
        <v>#DIV/0!</v>
      </c>
      <c r="P51" s="1300" t="e">
        <f ca="1">H51*$H$40</f>
        <v>#DIV/0!</v>
      </c>
      <c r="Q51" s="697"/>
      <c r="R51" s="1300" t="e">
        <f ca="1">J51*$H$40</f>
        <v>#DIV/0!</v>
      </c>
      <c r="S51" s="285"/>
      <c r="Y51" s="601" t="s">
        <v>1086</v>
      </c>
    </row>
    <row r="52" spans="1:26" ht="12.75" customHeight="1">
      <c r="A52" s="1302" t="s">
        <v>1102</v>
      </c>
      <c r="B52" s="384" t="s">
        <v>1103</v>
      </c>
      <c r="C52" s="1303" t="s">
        <v>365</v>
      </c>
      <c r="D52" s="246" t="e">
        <f ca="1">'6) Zone Imp'!S89</f>
        <v>#DIV/0!</v>
      </c>
      <c r="E52" s="1300" t="s">
        <v>1101</v>
      </c>
      <c r="F52" s="1008"/>
      <c r="G52" s="149" t="s">
        <v>378</v>
      </c>
      <c r="H52" s="283" t="e">
        <f ca="1">ROUND((IF(F52=0,D52,F52)),2)</f>
        <v>#DIV/0!</v>
      </c>
      <c r="I52" s="149" t="s">
        <v>378</v>
      </c>
      <c r="J52" s="1300" t="e">
        <f ca="1">H52/$B$45</f>
        <v>#DIV/0!</v>
      </c>
      <c r="K52" s="64" t="s">
        <v>452</v>
      </c>
      <c r="L52" s="1304" t="e">
        <f>L51</f>
        <v>#DIV/0!</v>
      </c>
      <c r="M52" s="694"/>
      <c r="N52" s="1304" t="e">
        <f ca="1">(H52/$S$45)*100</f>
        <v>#DIV/0!</v>
      </c>
      <c r="P52" s="1300" t="e">
        <f ca="1">H52*$H$40</f>
        <v>#DIV/0!</v>
      </c>
      <c r="Q52" s="697"/>
      <c r="R52" s="1300" t="e">
        <f ca="1">J52*$H$40</f>
        <v>#DIV/0!</v>
      </c>
      <c r="S52" s="285"/>
      <c r="Y52" s="601" t="s">
        <v>1104</v>
      </c>
    </row>
    <row r="53" spans="1:26" ht="12.75" customHeight="1">
      <c r="A53" s="1302" t="s">
        <v>1105</v>
      </c>
      <c r="B53" s="384" t="s">
        <v>1106</v>
      </c>
      <c r="C53" s="1303" t="s">
        <v>365</v>
      </c>
      <c r="D53" s="246" t="e">
        <f ca="1">'6) Zone Imp'!S254</f>
        <v>#DIV/0!</v>
      </c>
      <c r="E53" s="1300" t="s">
        <v>1101</v>
      </c>
      <c r="F53" s="1008"/>
      <c r="G53" s="149" t="s">
        <v>378</v>
      </c>
      <c r="H53" s="283" t="e">
        <f ca="1">IF(D53="OFF","OFF",ROUND(IF(F53=0,D53,F53),2))</f>
        <v>#DIV/0!</v>
      </c>
      <c r="I53" s="149" t="s">
        <v>378</v>
      </c>
      <c r="J53" s="1300" t="e">
        <f ca="1">IF(H53="OFF","OFF",H53/$B$45)</f>
        <v>#DIV/0!</v>
      </c>
      <c r="K53" s="64" t="s">
        <v>452</v>
      </c>
      <c r="L53" s="1304" t="e">
        <f>L51</f>
        <v>#DIV/0!</v>
      </c>
      <c r="M53" s="694"/>
      <c r="N53" s="1304" t="e">
        <f ca="1">IF(H53="OFF","OFF",(H53/$S$45)*100)</f>
        <v>#DIV/0!</v>
      </c>
      <c r="P53" s="1300" t="e">
        <f ca="1">IF(H53="OFF","OFF",H53*$H$40)</f>
        <v>#DIV/0!</v>
      </c>
      <c r="Q53" s="697"/>
      <c r="R53" s="1300" t="e">
        <f ca="1">IF(J53="OFF","OFF",J53*$H$40)</f>
        <v>#DIV/0!</v>
      </c>
      <c r="S53" s="285"/>
      <c r="Y53" s="601" t="s">
        <v>1107</v>
      </c>
    </row>
    <row r="54" spans="1:26" ht="12.75" customHeight="1">
      <c r="A54" s="1302" t="s">
        <v>1108</v>
      </c>
      <c r="B54" s="384" t="s">
        <v>1109</v>
      </c>
      <c r="C54" s="1303" t="s">
        <v>365</v>
      </c>
      <c r="D54" s="246" t="e">
        <f ca="1">'6) Zone Imp'!S187</f>
        <v>#DIV/0!</v>
      </c>
      <c r="E54" s="1300" t="s">
        <v>1101</v>
      </c>
      <c r="F54" s="1008"/>
      <c r="G54" s="149" t="s">
        <v>378</v>
      </c>
      <c r="H54" s="283" t="e">
        <f ca="1">ROUND((IF(F54=0,D54,F54)),2)</f>
        <v>#DIV/0!</v>
      </c>
      <c r="I54" s="149" t="s">
        <v>378</v>
      </c>
      <c r="J54" s="1300" t="e">
        <f ca="1">H54/$B$45</f>
        <v>#DIV/0!</v>
      </c>
      <c r="K54" s="64" t="s">
        <v>452</v>
      </c>
      <c r="L54" s="1304" t="e">
        <f>L51</f>
        <v>#DIV/0!</v>
      </c>
      <c r="M54" s="694"/>
      <c r="N54" s="1304" t="e">
        <f ca="1">(H54/$S$45)*100</f>
        <v>#DIV/0!</v>
      </c>
      <c r="P54" s="1300" t="e">
        <f ca="1">H54*$H$40</f>
        <v>#DIV/0!</v>
      </c>
      <c r="Q54" s="697"/>
      <c r="R54" s="1300" t="e">
        <f ca="1">IF(A54&lt;&gt;"Z3F",J54*$H$40,"Z3F GR - NA")</f>
        <v>#DIV/0!</v>
      </c>
      <c r="S54" s="285"/>
      <c r="Y54" s="601" t="s">
        <v>1110</v>
      </c>
    </row>
    <row r="55" spans="1:26" ht="12.75" customHeight="1">
      <c r="A55" s="385" t="s">
        <v>1111</v>
      </c>
      <c r="B55" s="384" t="s">
        <v>1112</v>
      </c>
      <c r="C55" s="1303" t="s">
        <v>365</v>
      </c>
      <c r="D55" s="246" t="e">
        <f ca="1">'6) Zone Imp'!S140</f>
        <v>#DIV/0!</v>
      </c>
      <c r="E55" s="1300" t="s">
        <v>1101</v>
      </c>
      <c r="F55" s="1008"/>
      <c r="G55" s="149" t="s">
        <v>378</v>
      </c>
      <c r="H55" s="283" t="e">
        <f ca="1">ROUND((IF(F55=0,D55,F55)),2)</f>
        <v>#DIV/0!</v>
      </c>
      <c r="I55" s="149" t="s">
        <v>378</v>
      </c>
      <c r="J55" s="1300" t="e">
        <f ca="1">H55/$B$45</f>
        <v>#DIV/0!</v>
      </c>
      <c r="K55" s="64" t="s">
        <v>452</v>
      </c>
      <c r="L55" s="1304" t="e">
        <f>L52</f>
        <v>#DIV/0!</v>
      </c>
      <c r="M55" s="694"/>
      <c r="N55" s="1304" t="e">
        <f ca="1">(H55/$S$45)*100</f>
        <v>#DIV/0!</v>
      </c>
      <c r="P55" s="1300" t="e">
        <f ca="1">IF(A55&lt;&gt;"Z3F",H55*$H$40,"Z3F GR - NA")</f>
        <v>#DIV/0!</v>
      </c>
      <c r="Q55" s="697"/>
      <c r="R55" s="1300" t="e">
        <f ca="1">IF(A55&lt;&gt;"Z3F",J55*$H$40,"Z3F GR - NA")</f>
        <v>#DIV/0!</v>
      </c>
      <c r="S55" s="285"/>
      <c r="Y55" s="601" t="s">
        <v>1113</v>
      </c>
    </row>
    <row r="56" spans="1:26" ht="12.75" customHeight="1">
      <c r="A56" s="854"/>
      <c r="B56" s="86"/>
      <c r="C56" s="697"/>
      <c r="D56" s="697"/>
      <c r="E56" s="697"/>
      <c r="F56" s="853"/>
      <c r="G56" s="86"/>
      <c r="J56" s="86"/>
      <c r="L56" s="86"/>
      <c r="P56" s="85"/>
      <c r="R56" s="85"/>
      <c r="S56" s="86"/>
    </row>
    <row r="57" spans="1:26" ht="12.75" customHeight="1">
      <c r="A57" s="1302" t="s">
        <v>1099</v>
      </c>
      <c r="B57" s="384" t="s">
        <v>1114</v>
      </c>
      <c r="C57" s="1303" t="s">
        <v>365</v>
      </c>
      <c r="D57" s="246" t="e">
        <f ca="1">'6) Zone Imp'!S39</f>
        <v>#DIV/0!</v>
      </c>
      <c r="E57" s="1300" t="s">
        <v>1101</v>
      </c>
      <c r="F57" s="1008"/>
      <c r="G57" s="149" t="s">
        <v>378</v>
      </c>
      <c r="H57" s="283" t="e">
        <f ca="1">IF(D57="NA",0,ROUND((IF(F57=0,D57,F57)),2))</f>
        <v>#DIV/0!</v>
      </c>
      <c r="I57" s="149" t="s">
        <v>378</v>
      </c>
      <c r="J57" s="1300" t="e">
        <f ca="1">H57/$B$45</f>
        <v>#DIV/0!</v>
      </c>
      <c r="K57" s="64" t="s">
        <v>452</v>
      </c>
      <c r="L57" s="1304" t="e">
        <f>ROUND(J20,1)</f>
        <v>#DIV/0!</v>
      </c>
      <c r="M57" s="694"/>
      <c r="N57" s="1304" t="e">
        <f ca="1">(H57/$S$45)*100</f>
        <v>#DIV/0!</v>
      </c>
      <c r="P57" s="1300" t="e">
        <f ca="1">H57*$H$40</f>
        <v>#DIV/0!</v>
      </c>
      <c r="Q57" s="697"/>
      <c r="R57" s="1300" t="e">
        <f ca="1">J57*$H$40</f>
        <v>#DIV/0!</v>
      </c>
      <c r="S57" s="285"/>
      <c r="Y57" s="601" t="s">
        <v>1115</v>
      </c>
    </row>
    <row r="58" spans="1:26" ht="12.75" customHeight="1">
      <c r="A58" s="1302" t="s">
        <v>1102</v>
      </c>
      <c r="B58" s="384" t="s">
        <v>1116</v>
      </c>
      <c r="C58" s="1303" t="s">
        <v>365</v>
      </c>
      <c r="D58" s="246" t="e">
        <f ca="1">'6) Zone Imp'!S89</f>
        <v>#DIV/0!</v>
      </c>
      <c r="E58" s="1300" t="s">
        <v>1101</v>
      </c>
      <c r="F58" s="1008"/>
      <c r="G58" s="149" t="s">
        <v>378</v>
      </c>
      <c r="H58" s="283" t="e">
        <f ca="1">ROUND((IF(F58=0,D58,F58)),2)</f>
        <v>#DIV/0!</v>
      </c>
      <c r="I58" s="149" t="s">
        <v>378</v>
      </c>
      <c r="J58" s="1300" t="e">
        <f ca="1">H58/$B$45</f>
        <v>#DIV/0!</v>
      </c>
      <c r="K58" s="64" t="s">
        <v>452</v>
      </c>
      <c r="L58" s="1304" t="e">
        <f>L57</f>
        <v>#DIV/0!</v>
      </c>
      <c r="M58" s="694"/>
      <c r="N58" s="1304" t="e">
        <f ca="1">(H58/$S$45)*100</f>
        <v>#DIV/0!</v>
      </c>
      <c r="P58" s="1300" t="e">
        <f ca="1">H58*$H$40</f>
        <v>#DIV/0!</v>
      </c>
      <c r="Q58" s="697"/>
      <c r="R58" s="1300" t="e">
        <f ca="1">J58*$H$40</f>
        <v>#DIV/0!</v>
      </c>
      <c r="S58" s="285"/>
      <c r="Y58" s="601" t="s">
        <v>1117</v>
      </c>
    </row>
    <row r="59" spans="1:26" ht="12.75" customHeight="1">
      <c r="A59" s="1302" t="s">
        <v>1105</v>
      </c>
      <c r="B59" s="384" t="s">
        <v>1118</v>
      </c>
      <c r="C59" s="1303" t="s">
        <v>365</v>
      </c>
      <c r="D59" s="246" t="e">
        <f ca="1">'6) Zone Imp'!S254</f>
        <v>#DIV/0!</v>
      </c>
      <c r="E59" s="1300" t="s">
        <v>1101</v>
      </c>
      <c r="F59" s="1008"/>
      <c r="G59" s="149" t="s">
        <v>378</v>
      </c>
      <c r="H59" s="283" t="e">
        <f ca="1">IF(D59="OFF","OFF",ROUND(IF(F59=0,D59,F59),2))</f>
        <v>#DIV/0!</v>
      </c>
      <c r="I59" s="149" t="s">
        <v>378</v>
      </c>
      <c r="J59" s="1300" t="e">
        <f ca="1">IF(H59="OFF","OFF",H59/$B$45)</f>
        <v>#DIV/0!</v>
      </c>
      <c r="K59" s="64" t="s">
        <v>452</v>
      </c>
      <c r="L59" s="1304" t="e">
        <f>L57</f>
        <v>#DIV/0!</v>
      </c>
      <c r="M59" s="694"/>
      <c r="N59" s="1304" t="e">
        <f ca="1">IF(H59="OFF","OFF",(H59/$S$45)*100)</f>
        <v>#DIV/0!</v>
      </c>
      <c r="P59" s="1300" t="e">
        <f ca="1">IF(H59="OFF","OFF",H59*$H$40)</f>
        <v>#DIV/0!</v>
      </c>
      <c r="Q59" s="697"/>
      <c r="R59" s="1300" t="e">
        <f ca="1">IF(J59="OFF","OFF",J59*$H$40)</f>
        <v>#DIV/0!</v>
      </c>
      <c r="S59" s="285"/>
      <c r="Y59" s="601" t="s">
        <v>1119</v>
      </c>
    </row>
    <row r="60" spans="1:26" ht="12.75" customHeight="1">
      <c r="A60" s="1302" t="s">
        <v>1108</v>
      </c>
      <c r="B60" s="384" t="s">
        <v>1120</v>
      </c>
      <c r="C60" s="1303" t="s">
        <v>365</v>
      </c>
      <c r="D60" s="246" t="e">
        <f ca="1">'6) Zone Imp'!S187</f>
        <v>#DIV/0!</v>
      </c>
      <c r="E60" s="1300" t="s">
        <v>1101</v>
      </c>
      <c r="F60" s="1008"/>
      <c r="G60" s="149" t="s">
        <v>378</v>
      </c>
      <c r="H60" s="283" t="e">
        <f ca="1">ROUND((IF(F60=0,D60,F60)),2)</f>
        <v>#DIV/0!</v>
      </c>
      <c r="I60" s="149" t="s">
        <v>378</v>
      </c>
      <c r="J60" s="1300" t="e">
        <f ca="1">H60/$B$45</f>
        <v>#DIV/0!</v>
      </c>
      <c r="K60" s="64" t="s">
        <v>452</v>
      </c>
      <c r="L60" s="1304" t="e">
        <f>L57</f>
        <v>#DIV/0!</v>
      </c>
      <c r="M60" s="694"/>
      <c r="N60" s="1304" t="e">
        <f ca="1">(H60/$S$45)*100</f>
        <v>#DIV/0!</v>
      </c>
      <c r="P60" s="1300" t="e">
        <f ca="1">H60*$H$40</f>
        <v>#DIV/0!</v>
      </c>
      <c r="Q60" s="697"/>
      <c r="R60" s="1300" t="e">
        <f ca="1">IF(A60&lt;&gt;"Z3F",J60*$H$40,"Z3F GR - NA")</f>
        <v>#DIV/0!</v>
      </c>
      <c r="S60" s="285"/>
      <c r="Y60" s="601" t="s">
        <v>1121</v>
      </c>
    </row>
    <row r="61" spans="1:26" ht="12.75" customHeight="1">
      <c r="A61" s="385" t="s">
        <v>1111</v>
      </c>
      <c r="B61" s="384" t="s">
        <v>1122</v>
      </c>
      <c r="C61" s="1303" t="s">
        <v>365</v>
      </c>
      <c r="D61" s="246" t="e">
        <f ca="1">'6) Zone Imp'!S140</f>
        <v>#DIV/0!</v>
      </c>
      <c r="E61" s="1300" t="s">
        <v>1101</v>
      </c>
      <c r="F61" s="1008"/>
      <c r="G61" s="149" t="s">
        <v>378</v>
      </c>
      <c r="H61" s="283" t="e">
        <f ca="1">ROUND((IF(F61=0,D61,F61)),2)</f>
        <v>#DIV/0!</v>
      </c>
      <c r="I61" s="149" t="s">
        <v>378</v>
      </c>
      <c r="J61" s="1300" t="e">
        <f ca="1">H61/$B$45</f>
        <v>#DIV/0!</v>
      </c>
      <c r="K61" s="64" t="s">
        <v>452</v>
      </c>
      <c r="L61" s="1304" t="e">
        <f>L58</f>
        <v>#DIV/0!</v>
      </c>
      <c r="M61" s="694"/>
      <c r="N61" s="1304" t="e">
        <f ca="1">(H61/$S$45)*100</f>
        <v>#DIV/0!</v>
      </c>
      <c r="P61" s="1300" t="e">
        <f ca="1">IF(A61&lt;&gt;"Z3F",H61*$H$40,"Z3F GR - NA")</f>
        <v>#DIV/0!</v>
      </c>
      <c r="Q61" s="697"/>
      <c r="R61" s="1300" t="e">
        <f ca="1">IF(A61&lt;&gt;"Z3F",J61*$H$40,"Z3F GR - NA")</f>
        <v>#DIV/0!</v>
      </c>
      <c r="S61" s="285"/>
      <c r="Y61" s="601" t="s">
        <v>1123</v>
      </c>
    </row>
    <row r="62" spans="1:26" ht="12.75" customHeight="1">
      <c r="A62" s="1305"/>
      <c r="B62" s="51"/>
      <c r="C62" s="1247"/>
      <c r="D62" s="286"/>
      <c r="E62" s="1129"/>
      <c r="F62" s="1126"/>
      <c r="G62" s="149"/>
      <c r="H62" s="283"/>
      <c r="I62" s="149"/>
      <c r="J62" s="659"/>
      <c r="L62" s="284"/>
      <c r="N62" s="283"/>
      <c r="P62" s="1300"/>
      <c r="Q62" s="697"/>
      <c r="R62" s="1300"/>
      <c r="S62" s="285"/>
    </row>
    <row r="63" spans="1:26" ht="18" customHeight="1">
      <c r="A63" s="10" t="s">
        <v>1124</v>
      </c>
      <c r="B63" s="287"/>
      <c r="C63" s="288"/>
      <c r="D63" s="288"/>
      <c r="E63" s="288"/>
      <c r="F63" s="289"/>
      <c r="G63" s="289"/>
      <c r="H63" s="18"/>
      <c r="I63" s="18"/>
      <c r="J63" s="18"/>
      <c r="K63" s="289"/>
      <c r="L63" s="289"/>
      <c r="M63" s="289"/>
      <c r="N63" s="289"/>
      <c r="O63" s="289"/>
      <c r="P63" s="18"/>
      <c r="Q63" s="18"/>
      <c r="R63" s="18"/>
      <c r="S63" s="18"/>
      <c r="T63" s="18"/>
      <c r="U63" s="18"/>
      <c r="V63" s="18"/>
      <c r="W63" s="18"/>
      <c r="X63" s="18"/>
      <c r="Z63" s="614" t="s">
        <v>1125</v>
      </c>
    </row>
    <row r="64" spans="1:26" ht="12.75" customHeight="1">
      <c r="A64" s="767" t="s">
        <v>1126</v>
      </c>
      <c r="B64" s="282"/>
      <c r="C64" s="282"/>
      <c r="D64" s="282"/>
      <c r="E64" s="282"/>
      <c r="F64" s="282"/>
      <c r="G64" s="282"/>
      <c r="H64" s="282" t="s">
        <v>1127</v>
      </c>
      <c r="I64" s="282"/>
      <c r="J64" s="282"/>
      <c r="K64" s="282"/>
      <c r="L64" s="282"/>
      <c r="M64" s="282"/>
      <c r="N64" s="282"/>
      <c r="O64" s="282"/>
      <c r="P64" s="282"/>
    </row>
    <row r="65" spans="1:25" ht="12.75" customHeight="1">
      <c r="A65" s="54" t="s">
        <v>1089</v>
      </c>
      <c r="B65" s="86" t="s">
        <v>1128</v>
      </c>
      <c r="D65" s="86" t="s">
        <v>805</v>
      </c>
      <c r="E65" s="86"/>
      <c r="F65" s="86"/>
      <c r="G65" s="282"/>
      <c r="H65" s="290" t="s">
        <v>1129</v>
      </c>
      <c r="I65" s="282"/>
      <c r="J65" s="282"/>
      <c r="K65" s="282"/>
      <c r="L65" s="282"/>
      <c r="M65" s="282"/>
      <c r="N65" s="282"/>
      <c r="O65" s="282"/>
      <c r="P65" s="282"/>
    </row>
    <row r="66" spans="1:25" ht="12.75" customHeight="1">
      <c r="A66" s="54" t="s">
        <v>1099</v>
      </c>
      <c r="B66" s="279" t="e">
        <f ca="1">H57</f>
        <v>#DIV/0!</v>
      </c>
      <c r="C66" s="149" t="s">
        <v>378</v>
      </c>
      <c r="D66" s="279" t="e">
        <f ca="1">J57</f>
        <v>#DIV/0!</v>
      </c>
      <c r="E66" s="86"/>
      <c r="F66" s="291"/>
      <c r="G66" s="282"/>
      <c r="H66" s="292" t="e">
        <f ca="1">IF(H57="NA","N",IF(D66&lt;3,"Y","N"))</f>
        <v>#DIV/0!</v>
      </c>
      <c r="I66" s="282"/>
      <c r="J66" s="282"/>
      <c r="K66" s="282"/>
      <c r="L66" s="282"/>
      <c r="M66" s="282"/>
      <c r="N66" s="282"/>
      <c r="O66" s="282"/>
      <c r="P66" s="282"/>
    </row>
    <row r="67" spans="1:25" ht="12.75" customHeight="1">
      <c r="A67" s="54" t="s">
        <v>1102</v>
      </c>
      <c r="B67" s="279" t="e">
        <f ca="1">H58</f>
        <v>#DIV/0!</v>
      </c>
      <c r="C67" s="149" t="s">
        <v>378</v>
      </c>
      <c r="D67" s="279" t="e">
        <f ca="1">J58</f>
        <v>#DIV/0!</v>
      </c>
      <c r="E67" s="86"/>
      <c r="F67" s="291"/>
      <c r="G67" s="282"/>
      <c r="H67" s="292" t="e">
        <f ca="1">IF(D67&lt;3,"Y","N")</f>
        <v>#DIV/0!</v>
      </c>
      <c r="I67" s="282"/>
      <c r="J67" s="1306"/>
      <c r="K67" s="282"/>
      <c r="L67" s="282"/>
      <c r="M67" s="282"/>
      <c r="N67" s="282"/>
      <c r="O67" s="282"/>
      <c r="P67" s="282"/>
    </row>
    <row r="68" spans="1:25" ht="12.75" customHeight="1">
      <c r="A68" s="54" t="s">
        <v>1130</v>
      </c>
      <c r="B68" s="279" t="e">
        <f ca="1">H59</f>
        <v>#DIV/0!</v>
      </c>
      <c r="C68" s="149" t="s">
        <v>378</v>
      </c>
      <c r="D68" s="279" t="e">
        <f ca="1">J59</f>
        <v>#DIV/0!</v>
      </c>
      <c r="E68" s="86"/>
      <c r="F68" s="291"/>
      <c r="G68" s="282"/>
      <c r="H68" s="292" t="e">
        <f ca="1">IF(D68&lt;3,"Y","N")</f>
        <v>#DIV/0!</v>
      </c>
      <c r="I68" s="282"/>
      <c r="J68" s="282"/>
      <c r="K68" s="282"/>
      <c r="M68" s="282"/>
      <c r="N68" s="282"/>
      <c r="O68" s="282"/>
      <c r="P68" s="282"/>
    </row>
    <row r="69" spans="1:25" ht="12.75" customHeight="1">
      <c r="A69" s="54" t="s">
        <v>1131</v>
      </c>
      <c r="B69" s="279" t="e">
        <f ca="1">D60</f>
        <v>#DIV/0!</v>
      </c>
      <c r="C69" s="149" t="s">
        <v>378</v>
      </c>
      <c r="D69" s="279" t="e">
        <f ca="1">J60</f>
        <v>#DIV/0!</v>
      </c>
      <c r="E69" s="86"/>
      <c r="F69" s="291"/>
      <c r="G69" s="282"/>
      <c r="H69" s="292" t="e">
        <f ca="1">IF(D69&lt;3,"Y","N")</f>
        <v>#DIV/0!</v>
      </c>
      <c r="I69" s="282"/>
      <c r="J69" s="282"/>
      <c r="K69" s="282"/>
      <c r="L69" s="767" t="s">
        <v>1132</v>
      </c>
      <c r="M69" s="282"/>
      <c r="N69" s="282"/>
      <c r="O69" s="282"/>
      <c r="P69" s="282"/>
    </row>
    <row r="70" spans="1:25" ht="12.75" customHeight="1">
      <c r="A70" s="699" t="s">
        <v>1133</v>
      </c>
      <c r="B70" s="279" t="e">
        <f ca="1">D61</f>
        <v>#DIV/0!</v>
      </c>
      <c r="C70" s="149" t="s">
        <v>378</v>
      </c>
      <c r="D70" s="279" t="e">
        <f ca="1">J61</f>
        <v>#DIV/0!</v>
      </c>
      <c r="E70" s="86"/>
      <c r="F70" s="291"/>
      <c r="G70" s="282"/>
      <c r="H70" s="293" t="e">
        <f ca="1">IF(D70&lt;3,"Y","N")</f>
        <v>#DIV/0!</v>
      </c>
      <c r="I70" s="282"/>
      <c r="J70" s="282"/>
      <c r="K70" s="282"/>
      <c r="L70" s="282"/>
      <c r="M70" s="282"/>
      <c r="N70" s="282"/>
      <c r="O70" s="282"/>
      <c r="P70" s="282"/>
    </row>
    <row r="71" spans="1:25" ht="12.75" customHeight="1">
      <c r="A71" s="282"/>
      <c r="B71" s="282"/>
      <c r="C71" s="282"/>
      <c r="D71" s="282"/>
      <c r="E71" s="282"/>
      <c r="F71" s="282"/>
      <c r="G71" s="282"/>
      <c r="H71" s="282"/>
      <c r="I71" s="282"/>
      <c r="J71" s="282"/>
      <c r="K71" s="282"/>
      <c r="L71" s="282"/>
      <c r="M71" s="282"/>
      <c r="N71" s="282"/>
      <c r="O71" s="282"/>
      <c r="P71" s="282"/>
    </row>
    <row r="72" spans="1:25" ht="12.75" customHeight="1">
      <c r="A72"/>
      <c r="B72"/>
      <c r="C72"/>
      <c r="D72"/>
      <c r="E72" s="86"/>
      <c r="F72" s="374" t="s">
        <v>1134</v>
      </c>
      <c r="G72" s="294" t="s">
        <v>365</v>
      </c>
      <c r="H72" s="384" t="e">
        <f ca="1">IF($H$70="Y",5,IF($H$69="Y",4,IF($H$68="Y",3,IF($H$67="Y",2,IF($H$66="Y",1,"N")))))</f>
        <v>#DIV/0!</v>
      </c>
      <c r="I72" s="86"/>
      <c r="J72"/>
      <c r="K72"/>
      <c r="O72"/>
      <c r="P72"/>
      <c r="Y72" s="601" t="s">
        <v>1135</v>
      </c>
    </row>
    <row r="73" spans="1:25" ht="12.75" customHeight="1">
      <c r="A73"/>
      <c r="B73"/>
      <c r="C73"/>
      <c r="D73"/>
      <c r="E73" s="86"/>
      <c r="F73" s="86"/>
      <c r="G73" s="86"/>
      <c r="H73" s="86"/>
      <c r="I73" s="86"/>
      <c r="J73" s="86"/>
      <c r="K73" s="86"/>
      <c r="L73" s="86"/>
      <c r="M73" s="86"/>
      <c r="N73" s="86"/>
      <c r="O73" s="282"/>
      <c r="P73" s="282"/>
    </row>
    <row r="74" spans="1:25" ht="12.75" customHeight="1">
      <c r="A74" s="268" t="s">
        <v>1136</v>
      </c>
      <c r="C74" s="268"/>
      <c r="D74" s="268"/>
      <c r="E74" s="268"/>
      <c r="K74" s="54"/>
      <c r="O74" s="282"/>
      <c r="P74" s="282"/>
    </row>
    <row r="75" spans="1:25" ht="12.75" customHeight="1">
      <c r="A75" s="767"/>
      <c r="C75" s="268"/>
      <c r="D75" s="268"/>
      <c r="E75" s="268"/>
      <c r="K75" s="54"/>
      <c r="O75" s="89"/>
      <c r="P75" s="89"/>
    </row>
    <row r="76" spans="1:25" ht="12.75" customHeight="1">
      <c r="A76" s="54"/>
      <c r="G76" s="86"/>
      <c r="J76" s="699"/>
      <c r="K76" s="697"/>
      <c r="L76" s="116" t="s">
        <v>26</v>
      </c>
      <c r="O76" s="89"/>
      <c r="P76" s="89"/>
    </row>
    <row r="77" spans="1:25" ht="12.75" customHeight="1">
      <c r="A77" s="54"/>
      <c r="B77" s="64" t="s">
        <v>1137</v>
      </c>
      <c r="C77" s="86"/>
      <c r="D77" s="116" t="s">
        <v>26</v>
      </c>
      <c r="G77" s="86"/>
      <c r="J77" s="699" t="s">
        <v>1138</v>
      </c>
      <c r="K77" s="697"/>
      <c r="L77" s="282" t="s">
        <v>1139</v>
      </c>
      <c r="O77" s="89"/>
      <c r="P77" s="89"/>
    </row>
    <row r="78" spans="1:25" ht="12.75" customHeight="1">
      <c r="B78" s="374" t="s">
        <v>445</v>
      </c>
      <c r="C78" s="242" t="s">
        <v>365</v>
      </c>
      <c r="D78" s="383" t="e">
        <f ca="1">IF(H72="N","NA",B66)</f>
        <v>#DIV/0!</v>
      </c>
      <c r="G78" s="285"/>
      <c r="H78" s="374" t="s">
        <v>1140</v>
      </c>
      <c r="I78" s="242" t="s">
        <v>365</v>
      </c>
      <c r="J78" s="1300" t="e">
        <f ca="1">IF(H72="N","NA",MAX(5*D66,3))</f>
        <v>#DIV/0!</v>
      </c>
      <c r="K78" s="1303" t="s">
        <v>378</v>
      </c>
      <c r="L78" s="383" t="e">
        <f ca="1">IF(H72="N","NA",J78*$B$45)</f>
        <v>#DIV/0!</v>
      </c>
      <c r="O78" s="89"/>
      <c r="P78" s="89"/>
      <c r="Y78" s="601" t="s">
        <v>1141</v>
      </c>
    </row>
    <row r="79" spans="1:25" ht="12.75" customHeight="1">
      <c r="B79" s="374" t="s">
        <v>447</v>
      </c>
      <c r="C79" s="242" t="s">
        <v>365</v>
      </c>
      <c r="D79" s="383" t="e">
        <f ca="1">IF(OR(H72="N",H72&lt;2),"NA",B67)</f>
        <v>#DIV/0!</v>
      </c>
      <c r="G79" s="285"/>
      <c r="H79" s="374" t="s">
        <v>1142</v>
      </c>
      <c r="I79" s="242" t="s">
        <v>365</v>
      </c>
      <c r="J79" s="1300" t="e">
        <f ca="1">IF(OR(H72="N",H72&lt;2),"NA",MAX(5*D67,3))</f>
        <v>#DIV/0!</v>
      </c>
      <c r="K79" s="1303" t="s">
        <v>378</v>
      </c>
      <c r="L79" s="383" t="e">
        <f ca="1">IF(OR(H72="N",H72&lt;2),"NA",J79*$B$45)</f>
        <v>#DIV/0!</v>
      </c>
      <c r="O79" s="89"/>
      <c r="P79" s="89"/>
      <c r="Y79" s="601" t="s">
        <v>1143</v>
      </c>
    </row>
    <row r="80" spans="1:25" ht="12.75" customHeight="1">
      <c r="B80" s="374" t="s">
        <v>1144</v>
      </c>
      <c r="C80" s="242" t="s">
        <v>365</v>
      </c>
      <c r="D80" s="383" t="e">
        <f ca="1">IF(OR(H72="N",H72&lt;3),"NA",B68)</f>
        <v>#DIV/0!</v>
      </c>
      <c r="G80" s="285"/>
      <c r="H80" s="374" t="s">
        <v>1145</v>
      </c>
      <c r="I80" s="242" t="s">
        <v>365</v>
      </c>
      <c r="J80" s="1300" t="e">
        <f ca="1">IF(OR(H72="N",H72&lt;3),"NA",MAX(5*D68,3))</f>
        <v>#DIV/0!</v>
      </c>
      <c r="K80" s="1303" t="s">
        <v>378</v>
      </c>
      <c r="L80" s="383" t="e">
        <f ca="1">IF(OR(H72="N",H72&lt;3),"NA",J80*$B$45)</f>
        <v>#DIV/0!</v>
      </c>
      <c r="O80" s="89"/>
      <c r="P80" s="89"/>
      <c r="Y80" s="601" t="s">
        <v>1146</v>
      </c>
    </row>
    <row r="81" spans="1:25" ht="12.75" customHeight="1">
      <c r="B81" s="374" t="s">
        <v>1147</v>
      </c>
      <c r="C81" s="242" t="s">
        <v>365</v>
      </c>
      <c r="D81" s="383" t="e">
        <f ca="1">IF(OR(H72="N",H72&lt;4),"NA",B69)</f>
        <v>#DIV/0!</v>
      </c>
      <c r="H81" s="374" t="s">
        <v>1148</v>
      </c>
      <c r="I81" s="242" t="s">
        <v>365</v>
      </c>
      <c r="J81" s="1300" t="e">
        <f ca="1">IF(OR(H72="N",H72&lt;4),"NA",MAX(5*D69,3))</f>
        <v>#DIV/0!</v>
      </c>
      <c r="K81" s="1303" t="s">
        <v>378</v>
      </c>
      <c r="L81" s="383" t="e">
        <f ca="1">IF(OR(H72="N",H72&lt;4),"NA",J81*$B$45)</f>
        <v>#DIV/0!</v>
      </c>
      <c r="O81" s="89"/>
      <c r="P81" s="89"/>
      <c r="Y81" s="601" t="s">
        <v>1149</v>
      </c>
    </row>
    <row r="82" spans="1:25" ht="12.75" customHeight="1">
      <c r="A82" s="277" t="s">
        <v>1150</v>
      </c>
      <c r="B82" s="374" t="s">
        <v>1151</v>
      </c>
      <c r="C82" s="242" t="s">
        <v>365</v>
      </c>
      <c r="D82" s="383" t="e">
        <f ca="1">IF(OR(H72="N",H72&lt;5),"NA",B70)</f>
        <v>#DIV/0!</v>
      </c>
      <c r="H82" s="277" t="s">
        <v>1152</v>
      </c>
      <c r="I82" s="242" t="s">
        <v>365</v>
      </c>
      <c r="J82" s="1300" t="e">
        <f ca="1">IF(OR(H72="N",H72&lt;5),"NA",MAX(5*D70,3))</f>
        <v>#DIV/0!</v>
      </c>
      <c r="K82" s="1303" t="s">
        <v>378</v>
      </c>
      <c r="L82" s="383" t="e">
        <f ca="1">IF(OR(H72="N",H72&lt;5),"NA",J82*$B$45)</f>
        <v>#DIV/0!</v>
      </c>
      <c r="O82" s="89"/>
      <c r="P82" s="89"/>
      <c r="Y82" s="601" t="s">
        <v>1153</v>
      </c>
    </row>
    <row r="83" spans="1:25" ht="12.75" customHeight="1">
      <c r="C83" s="242"/>
      <c r="D83" s="283"/>
      <c r="H83" s="54"/>
      <c r="J83" s="1300"/>
      <c r="K83" s="1303"/>
      <c r="L83" s="283"/>
      <c r="O83" s="89"/>
      <c r="P83" s="89"/>
    </row>
    <row r="84" spans="1:25" ht="17.399999999999999">
      <c r="A84" s="10" t="s">
        <v>1154</v>
      </c>
      <c r="B84" s="287"/>
      <c r="C84" s="288"/>
      <c r="D84" s="288"/>
      <c r="E84" s="288"/>
      <c r="F84" s="289"/>
      <c r="G84" s="289"/>
      <c r="H84" s="18"/>
      <c r="I84" s="18"/>
      <c r="J84" s="18"/>
      <c r="K84" s="289"/>
      <c r="L84" s="289"/>
      <c r="M84" s="289"/>
      <c r="N84" s="289"/>
      <c r="O84" s="289"/>
      <c r="P84" s="18"/>
      <c r="Q84" s="18"/>
      <c r="R84" s="18"/>
      <c r="S84" s="18"/>
      <c r="T84" s="18"/>
      <c r="U84" s="18"/>
      <c r="V84" s="18"/>
      <c r="W84" s="18"/>
      <c r="X84" s="18"/>
    </row>
    <row r="85" spans="1:25" ht="12.75" customHeight="1">
      <c r="A85" s="1966" t="s">
        <v>1155</v>
      </c>
      <c r="B85" s="1966"/>
      <c r="C85" s="1966"/>
      <c r="D85" s="1966"/>
      <c r="E85" s="1966"/>
      <c r="F85" s="1966"/>
      <c r="G85" s="1966"/>
      <c r="H85" s="1966"/>
      <c r="I85" s="1966"/>
      <c r="J85" s="1966"/>
      <c r="K85" s="1966"/>
      <c r="L85" s="1966"/>
      <c r="M85" s="1966"/>
      <c r="N85" s="1966"/>
      <c r="O85" s="1966"/>
      <c r="P85" s="1966"/>
      <c r="Q85" s="1966"/>
      <c r="R85" s="1966"/>
      <c r="S85" s="1966"/>
      <c r="T85" s="1966"/>
      <c r="U85" s="1966"/>
      <c r="V85" s="1966"/>
      <c r="W85" s="1966"/>
      <c r="X85" s="1966"/>
    </row>
    <row r="86" spans="1:25" ht="12.75" customHeight="1">
      <c r="A86" s="1966"/>
      <c r="B86" s="1966"/>
      <c r="C86" s="1966"/>
      <c r="D86" s="1966"/>
      <c r="E86" s="1966"/>
      <c r="F86" s="1966"/>
      <c r="G86" s="1966"/>
      <c r="H86" s="1966"/>
      <c r="I86" s="1966"/>
      <c r="J86" s="1966"/>
      <c r="K86" s="1966"/>
      <c r="L86" s="1966"/>
      <c r="M86" s="1966"/>
      <c r="N86" s="1966"/>
      <c r="O86" s="1966"/>
      <c r="P86" s="1966"/>
      <c r="Q86" s="1966"/>
      <c r="R86" s="1966"/>
      <c r="S86" s="1966"/>
      <c r="T86" s="1966"/>
      <c r="U86" s="1966"/>
      <c r="V86" s="1966"/>
      <c r="W86" s="1966"/>
      <c r="X86" s="1966"/>
    </row>
    <row r="88" spans="1:25" ht="12.75" customHeight="1">
      <c r="A88" s="699" t="s">
        <v>1156</v>
      </c>
      <c r="B88" s="246">
        <f>'1) Data Entry'!E59</f>
        <v>0</v>
      </c>
      <c r="Y88" s="601" t="s">
        <v>1157</v>
      </c>
    </row>
    <row r="89" spans="1:25" ht="12.75" customHeight="1">
      <c r="A89" s="699" t="s">
        <v>1158</v>
      </c>
      <c r="B89" s="246" t="str">
        <f>IF('1) Data Entry'!E26=1,'1) Data Entry'!E66,0)</f>
        <v/>
      </c>
      <c r="D89" s="64" t="str">
        <f>IF('1) Data Entry'!E26=1,"","NA, Infeed on 2nd line")</f>
        <v/>
      </c>
      <c r="Y89" s="601" t="s">
        <v>1159</v>
      </c>
    </row>
    <row r="90" spans="1:25" ht="12.75" customHeight="1">
      <c r="A90" s="699" t="s">
        <v>1160</v>
      </c>
      <c r="B90" s="947"/>
      <c r="Y90" s="601" t="s">
        <v>1161</v>
      </c>
    </row>
    <row r="91" spans="1:25" ht="12.75" customHeight="1">
      <c r="A91" s="694"/>
    </row>
    <row r="92" spans="1:25" ht="12.75" customHeight="1">
      <c r="A92" s="699" t="s">
        <v>1162</v>
      </c>
      <c r="B92" s="580">
        <f>10*ROUNDUP(SUM(B88:B90)/10,0)</f>
        <v>0</v>
      </c>
      <c r="C92" s="694" t="s">
        <v>352</v>
      </c>
      <c r="Y92" s="601" t="s">
        <v>1163</v>
      </c>
    </row>
    <row r="93" spans="1:25" ht="12.75" customHeight="1" thickBot="1"/>
    <row r="94" spans="1:25" ht="12.75" customHeight="1">
      <c r="A94" s="1955" t="s">
        <v>1164</v>
      </c>
      <c r="B94" s="1956" t="str">
        <f>"FLOC &gt; 0.000000 AND FLOC &lt; "&amp;B92&amp;" # START FLOC"</f>
        <v>FLOC &gt; 0.000000 AND FLOC &lt; 0 # START FLOC</v>
      </c>
      <c r="C94" s="1957"/>
      <c r="D94" s="1957"/>
      <c r="E94" s="1957"/>
      <c r="F94" s="1958"/>
      <c r="Y94" s="601" t="s">
        <v>1165</v>
      </c>
    </row>
    <row r="95" spans="1:25" ht="28.5" customHeight="1" thickBot="1">
      <c r="A95" s="1955"/>
      <c r="B95" s="1959"/>
      <c r="C95" s="1960"/>
      <c r="D95" s="1960"/>
      <c r="E95" s="1960"/>
      <c r="F95" s="1961"/>
    </row>
    <row r="96" spans="1:25" ht="12.75" customHeight="1" thickBot="1"/>
    <row r="97" spans="1:6" ht="12.75" customHeight="1">
      <c r="A97" s="1955" t="s">
        <v>1166</v>
      </c>
      <c r="B97" s="1956" t="str">
        <f>" CONFLOC &gt; 0.000000 AND CONFLOC &lt; "&amp;B92&amp;" # START FLOC"</f>
        <v xml:space="preserve"> CONFLOC &gt; 0.000000 AND CONFLOC &lt; 0 # START FLOC</v>
      </c>
      <c r="C97" s="1957"/>
      <c r="D97" s="1957"/>
      <c r="E97" s="1957"/>
      <c r="F97" s="1958"/>
    </row>
    <row r="98" spans="1:6" ht="36" customHeight="1" thickBot="1">
      <c r="A98" s="1955"/>
      <c r="B98" s="1959"/>
      <c r="C98" s="1960"/>
      <c r="D98" s="1960"/>
      <c r="E98" s="1960"/>
      <c r="F98" s="1961"/>
    </row>
  </sheetData>
  <sheetProtection algorithmName="SHA-512" hashValue="CdysNlfxtgUoMfVjZitprbLQTmOgv59EpDy9o4gzCcNEjD/HxjgfSVkJK0KxUlxwudY4qPpA41GdxYSG9dKiTw==" saltValue="piyQU1+zZ2ck/Y4DxU/g3g==" spinCount="100000" sheet="1" objects="1" scenarios="1"/>
  <mergeCells count="10">
    <mergeCell ref="A1:X1"/>
    <mergeCell ref="A85:X86"/>
    <mergeCell ref="D32:D33"/>
    <mergeCell ref="K32:K33"/>
    <mergeCell ref="A94:A95"/>
    <mergeCell ref="A97:A98"/>
    <mergeCell ref="B97:F98"/>
    <mergeCell ref="B94:F95"/>
    <mergeCell ref="L4:O4"/>
    <mergeCell ref="L5:O5"/>
  </mergeCells>
  <phoneticPr fontId="11" type="noConversion"/>
  <pageMargins left="0.7" right="0.7" top="0.75" bottom="0.75" header="0.3" footer="0.3"/>
  <pageSetup paperSize="17" scale="90" orientation="landscape" horizontalDpi="300" verticalDpi="300" r:id="rId1"/>
  <headerFooter alignWithMargins="0">
    <oddFooter>&amp;RFilename:&amp;F
Tab:&amp;A</oddFooter>
  </headerFooter>
  <rowBreaks count="1" manualBreakCount="1">
    <brk id="43" max="16383" man="1"/>
  </row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pageSetUpPr autoPageBreaks="0"/>
  </sheetPr>
  <dimension ref="A1:AE182"/>
  <sheetViews>
    <sheetView showGridLines="0" topLeftCell="A16" zoomScale="85" zoomScaleNormal="85" zoomScaleSheetLayoutView="100" workbookViewId="0">
      <selection activeCell="M111" sqref="M111"/>
    </sheetView>
  </sheetViews>
  <sheetFormatPr defaultRowHeight="13.2"/>
  <cols>
    <col min="1" max="1" width="2.5546875" customWidth="1"/>
    <col min="2" max="2" width="22.5546875" customWidth="1"/>
    <col min="3" max="3" width="6.44140625" customWidth="1"/>
    <col min="4" max="4" width="1.6640625" customWidth="1"/>
    <col min="5" max="5" width="33.5546875" customWidth="1"/>
    <col min="6" max="6" width="4.44140625" customWidth="1"/>
    <col min="7" max="7" width="11" customWidth="1"/>
    <col min="8" max="8" width="2.109375" customWidth="1"/>
    <col min="9" max="9" width="12.6640625" customWidth="1"/>
    <col min="10" max="10" width="2.6640625" customWidth="1"/>
    <col min="11" max="11" width="12.109375" customWidth="1"/>
    <col min="12" max="12" width="2.5546875" customWidth="1"/>
    <col min="13" max="13" width="10.88671875" customWidth="1"/>
    <col min="14" max="14" width="3.109375" customWidth="1"/>
    <col min="15" max="15" width="10.44140625" customWidth="1"/>
    <col min="16" max="16" width="6" customWidth="1"/>
    <col min="17" max="17" width="16.5546875" customWidth="1"/>
    <col min="18" max="18" width="2.6640625" customWidth="1"/>
    <col min="19" max="19" width="9.109375" customWidth="1"/>
    <col min="20" max="20" width="2" customWidth="1"/>
    <col min="21" max="21" width="9" customWidth="1"/>
    <col min="22" max="22" width="14.5546875" customWidth="1"/>
  </cols>
  <sheetData>
    <row r="1" spans="1:22" ht="17.399999999999999">
      <c r="A1" s="188"/>
      <c r="B1" s="189"/>
      <c r="C1" s="188"/>
      <c r="D1" s="188"/>
      <c r="E1" s="188"/>
      <c r="F1" s="188"/>
      <c r="G1" s="188"/>
      <c r="H1" s="188"/>
      <c r="I1" s="188"/>
      <c r="J1" s="188"/>
      <c r="K1" s="188"/>
      <c r="L1" s="188"/>
      <c r="M1" s="188"/>
      <c r="N1" s="188"/>
      <c r="O1" s="188"/>
      <c r="P1" s="188"/>
      <c r="Q1" s="188"/>
      <c r="R1" s="188"/>
      <c r="S1" s="188"/>
      <c r="T1" s="188"/>
      <c r="U1" s="600" t="s">
        <v>360</v>
      </c>
      <c r="V1" s="617" t="s">
        <v>361</v>
      </c>
    </row>
    <row r="2" spans="1:22" ht="17.399999999999999">
      <c r="A2" s="188"/>
      <c r="B2" s="189"/>
      <c r="C2" s="188"/>
      <c r="D2" s="188"/>
      <c r="E2" s="188"/>
      <c r="F2" s="188"/>
      <c r="G2" s="188"/>
      <c r="H2" s="188"/>
      <c r="I2" s="188"/>
      <c r="J2" s="188"/>
      <c r="K2" s="188"/>
      <c r="L2" s="188"/>
      <c r="M2" s="188"/>
      <c r="N2" s="188"/>
      <c r="O2" s="188"/>
      <c r="P2" s="188"/>
      <c r="Q2" s="188"/>
      <c r="R2" s="188"/>
      <c r="S2" s="188"/>
      <c r="T2" s="188"/>
      <c r="U2" s="600"/>
      <c r="V2" s="617"/>
    </row>
    <row r="3" spans="1:22" ht="15.6">
      <c r="A3" s="188"/>
      <c r="B3" s="190" t="s">
        <v>1167</v>
      </c>
      <c r="C3" s="190"/>
      <c r="D3" s="190"/>
      <c r="E3" s="190"/>
      <c r="F3" s="190"/>
      <c r="G3" s="188"/>
      <c r="H3" s="188"/>
      <c r="I3" s="191">
        <f>Relay_Location</f>
        <v>0</v>
      </c>
      <c r="J3" s="191"/>
      <c r="K3" s="192"/>
      <c r="L3" s="192"/>
      <c r="M3" s="190" t="s">
        <v>363</v>
      </c>
      <c r="N3" s="190"/>
      <c r="O3" s="191">
        <f>Remote_Location</f>
        <v>0</v>
      </c>
      <c r="P3" s="192"/>
      <c r="Q3" s="192"/>
      <c r="R3" s="192"/>
      <c r="S3" s="188"/>
      <c r="T3" s="188"/>
      <c r="U3" s="600"/>
      <c r="V3" s="617"/>
    </row>
    <row r="4" spans="1:22" ht="15.6">
      <c r="A4" s="188"/>
      <c r="B4" s="188"/>
      <c r="C4" s="188"/>
      <c r="D4" s="188"/>
      <c r="E4" s="188"/>
      <c r="F4" s="188"/>
      <c r="G4" s="188"/>
      <c r="H4" s="188"/>
      <c r="I4" s="1176"/>
      <c r="J4" s="1176"/>
      <c r="K4" s="188"/>
      <c r="L4" s="188"/>
      <c r="M4" s="188"/>
      <c r="N4" s="188"/>
      <c r="O4" s="1176"/>
      <c r="P4" s="188"/>
      <c r="Q4" s="188"/>
      <c r="R4" s="188"/>
      <c r="S4" s="188"/>
      <c r="T4" s="188"/>
      <c r="U4" s="600"/>
      <c r="V4" s="617"/>
    </row>
    <row r="5" spans="1:22" ht="15.6">
      <c r="A5" s="188"/>
      <c r="B5" s="188"/>
      <c r="C5" s="188"/>
      <c r="D5" s="188"/>
      <c r="E5" s="188"/>
      <c r="F5" s="1177"/>
      <c r="G5" s="188"/>
      <c r="H5" s="188"/>
      <c r="I5" s="188"/>
      <c r="J5" s="188"/>
      <c r="K5" s="680"/>
      <c r="L5" s="188"/>
      <c r="M5" s="188"/>
      <c r="N5" s="188"/>
      <c r="O5" s="188"/>
      <c r="P5" s="188"/>
      <c r="Q5" s="188"/>
      <c r="R5" s="188"/>
      <c r="S5" s="188"/>
      <c r="T5" s="188"/>
      <c r="U5" s="600"/>
      <c r="V5" s="617"/>
    </row>
    <row r="6" spans="1:22" ht="15.6">
      <c r="A6" s="188"/>
      <c r="B6" s="193" t="s">
        <v>364</v>
      </c>
      <c r="C6" s="194" t="s">
        <v>365</v>
      </c>
      <c r="D6" s="188"/>
      <c r="E6" s="195">
        <f ca="1">Line_Limit</f>
        <v>0</v>
      </c>
      <c r="F6" s="1177" t="s">
        <v>69</v>
      </c>
      <c r="G6" s="1375"/>
      <c r="H6" s="1375"/>
      <c r="I6" s="1176"/>
      <c r="J6" s="1176"/>
      <c r="K6" s="1827" t="s">
        <v>371</v>
      </c>
      <c r="L6" s="1968"/>
      <c r="M6" s="1968"/>
      <c r="N6" s="1968"/>
      <c r="O6" s="1968"/>
      <c r="P6" s="1968"/>
      <c r="Q6" s="1968"/>
      <c r="R6" s="1968"/>
      <c r="S6" s="1968"/>
      <c r="T6" s="188"/>
      <c r="U6" s="600"/>
      <c r="V6" s="617"/>
    </row>
    <row r="7" spans="1:22" ht="15.6">
      <c r="A7" s="188"/>
      <c r="B7" s="196" t="s">
        <v>367</v>
      </c>
      <c r="C7" s="194" t="s">
        <v>365</v>
      </c>
      <c r="D7" s="188"/>
      <c r="E7" s="709">
        <f ca="1">CTR</f>
        <v>0</v>
      </c>
      <c r="F7" s="1178" t="s">
        <v>368</v>
      </c>
      <c r="G7" s="197">
        <f ca="1">E7/5</f>
        <v>0</v>
      </c>
      <c r="H7" s="198" t="s">
        <v>183</v>
      </c>
      <c r="I7" s="1176"/>
      <c r="J7" s="1176"/>
      <c r="K7" s="1968"/>
      <c r="L7" s="1968"/>
      <c r="M7" s="1968"/>
      <c r="N7" s="1968"/>
      <c r="O7" s="1968"/>
      <c r="P7" s="1968"/>
      <c r="Q7" s="1968"/>
      <c r="R7" s="1968"/>
      <c r="S7" s="1968"/>
      <c r="T7" s="188"/>
      <c r="U7" s="600"/>
      <c r="V7" s="617"/>
    </row>
    <row r="8" spans="1:22" ht="15.6">
      <c r="A8" s="188"/>
      <c r="B8" s="196" t="s">
        <v>369</v>
      </c>
      <c r="C8" s="194" t="s">
        <v>365</v>
      </c>
      <c r="D8" s="188"/>
      <c r="E8" s="709">
        <f ca="1">PTR</f>
        <v>0</v>
      </c>
      <c r="F8" s="1178" t="s">
        <v>183</v>
      </c>
      <c r="G8" s="200"/>
      <c r="H8" s="200"/>
      <c r="I8" s="1176"/>
      <c r="J8" s="1176"/>
      <c r="K8" s="1968"/>
      <c r="L8" s="1968"/>
      <c r="M8" s="1968"/>
      <c r="N8" s="1968"/>
      <c r="O8" s="1968"/>
      <c r="P8" s="1968"/>
      <c r="Q8" s="1968"/>
      <c r="R8" s="1968"/>
      <c r="S8" s="1968"/>
      <c r="T8" s="188"/>
      <c r="U8" s="600"/>
      <c r="V8" s="617"/>
    </row>
    <row r="9" spans="1:22" ht="15.6">
      <c r="A9" s="188"/>
      <c r="B9" s="196" t="s">
        <v>370</v>
      </c>
      <c r="C9" s="194" t="s">
        <v>365</v>
      </c>
      <c r="D9" s="188"/>
      <c r="E9" s="347" t="e">
        <f ca="1">CTR_PTR</f>
        <v>#DIV/0!</v>
      </c>
      <c r="F9" s="1179"/>
      <c r="G9" s="201"/>
      <c r="H9" s="201"/>
      <c r="I9" s="1176"/>
      <c r="J9" s="1176"/>
      <c r="K9" s="1968"/>
      <c r="L9" s="1968"/>
      <c r="M9" s="1968"/>
      <c r="N9" s="1968"/>
      <c r="O9" s="1968"/>
      <c r="P9" s="1968"/>
      <c r="Q9" s="1968"/>
      <c r="R9" s="1968"/>
      <c r="S9" s="1968"/>
      <c r="T9" s="188"/>
      <c r="U9" s="600"/>
      <c r="V9" s="617"/>
    </row>
    <row r="10" spans="1:22" ht="16.5" customHeight="1">
      <c r="A10" s="188"/>
      <c r="B10" s="202" t="s">
        <v>372</v>
      </c>
      <c r="C10" s="194" t="s">
        <v>365</v>
      </c>
      <c r="D10" s="188"/>
      <c r="E10" s="710">
        <f ca="1">'6) Zone Imp'!$E$5</f>
        <v>0</v>
      </c>
      <c r="F10" s="1180" t="s">
        <v>373</v>
      </c>
      <c r="G10" s="188"/>
      <c r="H10" s="188"/>
      <c r="I10" s="1176"/>
      <c r="J10" s="1176"/>
      <c r="K10" s="1968"/>
      <c r="L10" s="1968"/>
      <c r="M10" s="1968"/>
      <c r="N10" s="1968"/>
      <c r="O10" s="1968"/>
      <c r="P10" s="1968"/>
      <c r="Q10" s="1968"/>
      <c r="R10" s="1968"/>
      <c r="S10" s="1968"/>
      <c r="T10" s="188"/>
      <c r="U10" s="600"/>
      <c r="V10" s="617"/>
    </row>
    <row r="11" spans="1:22" ht="15.6">
      <c r="A11" s="188"/>
      <c r="B11" s="188"/>
      <c r="I11" s="1375"/>
      <c r="J11" s="1176"/>
      <c r="K11" s="1968"/>
      <c r="L11" s="1968"/>
      <c r="M11" s="1968"/>
      <c r="N11" s="1968"/>
      <c r="O11" s="1968"/>
      <c r="P11" s="1968"/>
      <c r="Q11" s="1968"/>
      <c r="R11" s="1968"/>
      <c r="S11" s="1968"/>
      <c r="T11" s="188"/>
      <c r="U11" s="600"/>
      <c r="V11" s="617"/>
    </row>
    <row r="12" spans="1:22" ht="15.6">
      <c r="A12" s="188"/>
      <c r="B12" s="202"/>
      <c r="C12" s="202"/>
      <c r="D12" s="188"/>
      <c r="E12" s="204"/>
      <c r="F12" s="204"/>
      <c r="G12" s="201"/>
      <c r="H12" s="201"/>
      <c r="I12" s="205"/>
      <c r="J12" s="205"/>
      <c r="K12" s="1968"/>
      <c r="L12" s="1968"/>
      <c r="M12" s="1968"/>
      <c r="N12" s="1968"/>
      <c r="O12" s="1968"/>
      <c r="P12" s="1968"/>
      <c r="Q12" s="1968"/>
      <c r="R12" s="1968"/>
      <c r="S12" s="1968"/>
      <c r="T12" s="188"/>
      <c r="U12" s="600"/>
      <c r="V12" s="617"/>
    </row>
    <row r="13" spans="1:22" ht="15.6">
      <c r="A13" s="188"/>
      <c r="B13" s="190" t="s">
        <v>374</v>
      </c>
      <c r="C13" s="188"/>
      <c r="D13" s="188"/>
      <c r="E13" s="723"/>
      <c r="F13" s="188"/>
      <c r="H13" s="723"/>
      <c r="I13" s="188"/>
      <c r="J13" s="188"/>
      <c r="K13" s="1968"/>
      <c r="L13" s="1968"/>
      <c r="M13" s="1968"/>
      <c r="N13" s="1968"/>
      <c r="O13" s="1968"/>
      <c r="P13" s="1968"/>
      <c r="Q13" s="1968"/>
      <c r="R13" s="1968"/>
      <c r="S13" s="1968"/>
      <c r="T13" s="188"/>
      <c r="U13" s="600"/>
      <c r="V13" s="617"/>
    </row>
    <row r="14" spans="1:22" ht="26.4">
      <c r="A14" s="188"/>
      <c r="B14" s="723" t="s">
        <v>1168</v>
      </c>
      <c r="C14" s="188"/>
      <c r="D14" s="188"/>
      <c r="E14" s="188"/>
      <c r="F14" s="188"/>
      <c r="G14" s="188"/>
      <c r="H14" s="188"/>
      <c r="I14" s="716" t="s">
        <v>376</v>
      </c>
      <c r="J14" s="188"/>
      <c r="K14" s="1971" t="s">
        <v>1169</v>
      </c>
      <c r="L14" s="1971"/>
      <c r="M14" s="1971"/>
      <c r="N14" s="1971"/>
      <c r="O14" s="1971"/>
      <c r="P14" s="1971"/>
      <c r="Q14" s="1971"/>
      <c r="R14" s="1971"/>
      <c r="S14" s="1971"/>
      <c r="T14" s="1971"/>
      <c r="U14" s="1971"/>
      <c r="V14" s="1971"/>
    </row>
    <row r="15" spans="1:22" ht="17.399999999999999">
      <c r="A15" s="188"/>
      <c r="B15" s="190"/>
      <c r="C15" s="188"/>
      <c r="D15" s="188"/>
      <c r="E15" s="188"/>
      <c r="F15" s="188"/>
      <c r="G15" s="188"/>
      <c r="H15" s="188"/>
      <c r="I15" s="717" t="s">
        <v>378</v>
      </c>
      <c r="J15" s="188"/>
      <c r="K15" s="188"/>
      <c r="L15" s="188"/>
      <c r="M15" s="1182"/>
      <c r="N15" s="1182"/>
      <c r="O15" s="1182"/>
      <c r="P15" s="1182"/>
      <c r="Q15" s="1182"/>
      <c r="R15" s="1182"/>
      <c r="S15" s="1182"/>
      <c r="T15" s="188"/>
      <c r="U15" s="599"/>
      <c r="V15" s="617"/>
    </row>
    <row r="16" spans="1:22" ht="32.25" customHeight="1">
      <c r="A16" s="188"/>
      <c r="B16" s="956"/>
      <c r="C16" s="997"/>
      <c r="D16" s="997"/>
      <c r="E16" s="997" t="s">
        <v>1170</v>
      </c>
      <c r="F16" s="772" t="s">
        <v>365</v>
      </c>
      <c r="G16" s="1001">
        <f>'4) Fault Analysis'!G17</f>
        <v>0</v>
      </c>
      <c r="H16" s="996"/>
      <c r="I16" s="1002" t="str">
        <f>'4) Fault Analysis'!I17</f>
        <v>1LG</v>
      </c>
      <c r="J16" s="998"/>
      <c r="K16" s="1845" t="s">
        <v>1171</v>
      </c>
      <c r="L16" s="1845"/>
      <c r="M16" s="1845"/>
      <c r="N16" s="1845"/>
      <c r="O16" s="1845"/>
      <c r="P16" s="1845"/>
      <c r="Q16" s="1845"/>
      <c r="R16" s="1845"/>
      <c r="S16" s="1845"/>
      <c r="T16" s="1845"/>
      <c r="U16" s="1845"/>
      <c r="V16" s="1845"/>
    </row>
    <row r="17" spans="1:22" ht="16.5" customHeight="1">
      <c r="A17" s="188"/>
      <c r="B17" s="956"/>
      <c r="C17" s="997"/>
      <c r="D17" s="997"/>
      <c r="E17" s="997" t="s">
        <v>1172</v>
      </c>
      <c r="F17" s="772" t="s">
        <v>365</v>
      </c>
      <c r="G17" s="1001">
        <f>'4) Fault Analysis'!G18</f>
        <v>0</v>
      </c>
      <c r="H17" s="996"/>
      <c r="I17" s="1003" t="s">
        <v>384</v>
      </c>
      <c r="J17" s="998"/>
      <c r="K17" s="713" t="s">
        <v>1173</v>
      </c>
      <c r="L17" s="998"/>
      <c r="M17" s="1004"/>
      <c r="N17" s="1004"/>
      <c r="O17" s="1004"/>
      <c r="P17" s="1004"/>
      <c r="Q17" s="1004"/>
      <c r="R17" s="1004"/>
      <c r="S17" s="1004"/>
      <c r="T17" s="996"/>
      <c r="U17" s="600"/>
      <c r="V17" s="617"/>
    </row>
    <row r="18" spans="1:22" ht="16.5" customHeight="1">
      <c r="A18" s="188"/>
      <c r="B18" s="956"/>
      <c r="C18" s="997"/>
      <c r="D18" s="997"/>
      <c r="E18" s="997" t="s">
        <v>1174</v>
      </c>
      <c r="F18" s="772" t="s">
        <v>365</v>
      </c>
      <c r="G18" s="1001">
        <f>'4) Fault Analysis'!G19</f>
        <v>0</v>
      </c>
      <c r="H18" s="996"/>
      <c r="I18" s="999" t="s">
        <v>387</v>
      </c>
      <c r="J18" s="998"/>
      <c r="K18" s="713" t="s">
        <v>388</v>
      </c>
      <c r="L18" s="998"/>
      <c r="M18" s="1004"/>
      <c r="N18" s="1004"/>
      <c r="O18" s="1004"/>
      <c r="P18" s="1004"/>
      <c r="Q18" s="1004"/>
      <c r="R18" s="1004"/>
      <c r="S18" s="1004"/>
      <c r="T18" s="996"/>
      <c r="U18" s="600"/>
      <c r="V18" s="617"/>
    </row>
    <row r="19" spans="1:22" ht="27.75" customHeight="1">
      <c r="A19" s="188"/>
      <c r="B19" s="1972" t="s">
        <v>1175</v>
      </c>
      <c r="C19" s="1972"/>
      <c r="D19" s="1972"/>
      <c r="E19" s="1972"/>
      <c r="F19" s="772" t="s">
        <v>365</v>
      </c>
      <c r="G19" s="1001">
        <f>'4) Fault Analysis'!G20</f>
        <v>0</v>
      </c>
      <c r="H19" s="996"/>
      <c r="I19" s="999" t="s">
        <v>390</v>
      </c>
      <c r="J19" s="998"/>
      <c r="K19" s="713" t="s">
        <v>1176</v>
      </c>
      <c r="L19" s="998"/>
      <c r="M19" s="1005"/>
      <c r="N19" s="1005"/>
      <c r="O19" s="1005"/>
      <c r="P19" s="1005"/>
      <c r="Q19" s="1005"/>
      <c r="R19" s="1005"/>
      <c r="S19" s="1005"/>
      <c r="T19" s="996"/>
      <c r="U19" s="600"/>
      <c r="V19" s="617"/>
    </row>
    <row r="20" spans="1:22" ht="24.75" customHeight="1">
      <c r="A20" s="188"/>
      <c r="B20" s="1972" t="s">
        <v>1177</v>
      </c>
      <c r="C20" s="1972"/>
      <c r="D20" s="1972"/>
      <c r="E20" s="1972"/>
      <c r="F20" s="772" t="s">
        <v>365</v>
      </c>
      <c r="G20" s="1001">
        <f>'4) Fault Analysis'!G21</f>
        <v>0</v>
      </c>
      <c r="H20" s="996"/>
      <c r="I20" s="999" t="s">
        <v>387</v>
      </c>
      <c r="J20" s="998"/>
      <c r="K20" s="713" t="s">
        <v>1176</v>
      </c>
      <c r="L20" s="998"/>
      <c r="M20" s="1005"/>
      <c r="N20" s="1005"/>
      <c r="O20" s="1005"/>
      <c r="P20" s="1005"/>
      <c r="Q20" s="1005"/>
      <c r="R20" s="1005"/>
      <c r="S20" s="1005"/>
      <c r="T20" s="996"/>
      <c r="U20" s="600"/>
      <c r="V20" s="617"/>
    </row>
    <row r="21" spans="1:22" ht="25.5" customHeight="1">
      <c r="A21" s="188"/>
      <c r="B21" s="956"/>
      <c r="C21" s="997"/>
      <c r="D21" s="997"/>
      <c r="E21" s="997" t="s">
        <v>1178</v>
      </c>
      <c r="F21" s="772" t="s">
        <v>365</v>
      </c>
      <c r="G21" s="1001">
        <f>'4) Fault Analysis'!G22</f>
        <v>0</v>
      </c>
      <c r="H21" s="996"/>
      <c r="I21" s="1002" t="str">
        <f>'4) Fault Analysis'!I22</f>
        <v>LL</v>
      </c>
      <c r="J21" s="998"/>
      <c r="K21" s="1845" t="s">
        <v>1179</v>
      </c>
      <c r="L21" s="1845"/>
      <c r="M21" s="1845"/>
      <c r="N21" s="1845"/>
      <c r="O21" s="1845"/>
      <c r="P21" s="1845"/>
      <c r="Q21" s="1845"/>
      <c r="R21" s="1845"/>
      <c r="S21" s="1845"/>
      <c r="T21" s="1845"/>
      <c r="U21" s="1845"/>
      <c r="V21" s="1845"/>
    </row>
    <row r="22" spans="1:22" ht="16.5" customHeight="1">
      <c r="A22" s="188"/>
      <c r="B22" s="956"/>
      <c r="C22" s="997"/>
      <c r="D22" s="997"/>
      <c r="E22" s="997" t="s">
        <v>1180</v>
      </c>
      <c r="F22" s="772" t="s">
        <v>365</v>
      </c>
      <c r="G22" s="1001">
        <f>'4) Fault Analysis'!G23</f>
        <v>0</v>
      </c>
      <c r="H22" s="996"/>
      <c r="I22" s="999" t="s">
        <v>387</v>
      </c>
      <c r="J22" s="998"/>
      <c r="K22" s="713" t="s">
        <v>388</v>
      </c>
      <c r="L22" s="998"/>
      <c r="M22" s="1005"/>
      <c r="N22" s="1005"/>
      <c r="O22" s="1005"/>
      <c r="P22" s="1005"/>
      <c r="Q22" s="1005"/>
      <c r="R22" s="1005"/>
      <c r="S22" s="1005"/>
      <c r="T22" s="996"/>
      <c r="U22" s="600"/>
      <c r="V22" s="617"/>
    </row>
    <row r="23" spans="1:22" ht="16.5" customHeight="1">
      <c r="A23" s="188"/>
      <c r="B23" s="956"/>
      <c r="C23" s="997"/>
      <c r="D23" s="997"/>
      <c r="E23" s="997" t="s">
        <v>1181</v>
      </c>
      <c r="F23" s="772" t="s">
        <v>365</v>
      </c>
      <c r="G23" s="1001">
        <f>'4) Fault Analysis'!G24</f>
        <v>0</v>
      </c>
      <c r="H23" s="996"/>
      <c r="I23" s="1003" t="s">
        <v>384</v>
      </c>
      <c r="J23" s="998"/>
      <c r="K23" s="713" t="s">
        <v>397</v>
      </c>
      <c r="L23" s="998"/>
      <c r="M23" s="1005"/>
      <c r="N23" s="1005"/>
      <c r="O23" s="1005"/>
      <c r="P23" s="1005"/>
      <c r="Q23" s="1005"/>
      <c r="R23" s="1005"/>
      <c r="S23" s="1005"/>
      <c r="T23" s="996"/>
      <c r="U23" s="600"/>
      <c r="V23" s="617"/>
    </row>
    <row r="24" spans="1:22" ht="16.5" customHeight="1">
      <c r="A24" s="188"/>
      <c r="B24" s="956"/>
      <c r="C24" s="997"/>
      <c r="D24" s="997"/>
      <c r="E24" s="997" t="s">
        <v>1182</v>
      </c>
      <c r="F24" s="772" t="s">
        <v>365</v>
      </c>
      <c r="G24" s="1001">
        <f>'4) Fault Analysis'!G25</f>
        <v>0</v>
      </c>
      <c r="H24" s="996"/>
      <c r="I24" s="1003" t="s">
        <v>384</v>
      </c>
      <c r="J24" s="998"/>
      <c r="K24" s="713" t="s">
        <v>1183</v>
      </c>
      <c r="L24" s="998"/>
      <c r="M24" s="1005"/>
      <c r="N24" s="1005"/>
      <c r="O24" s="1005"/>
      <c r="P24" s="1005"/>
      <c r="Q24" s="1005"/>
      <c r="R24" s="1005"/>
      <c r="S24" s="1005"/>
      <c r="T24" s="996"/>
      <c r="U24" s="600"/>
      <c r="V24" s="617"/>
    </row>
    <row r="25" spans="1:22">
      <c r="A25" s="224"/>
      <c r="B25" s="187"/>
      <c r="C25" s="187"/>
      <c r="D25" s="187"/>
      <c r="E25" s="187"/>
      <c r="F25" s="187"/>
      <c r="G25" s="187"/>
      <c r="H25" s="187"/>
      <c r="I25" s="225"/>
      <c r="J25" s="225"/>
      <c r="K25" s="187"/>
      <c r="L25" s="187"/>
      <c r="M25" s="226"/>
      <c r="N25" s="187"/>
      <c r="O25" s="187"/>
      <c r="P25" s="187"/>
      <c r="Q25" s="187"/>
      <c r="R25" s="187"/>
      <c r="S25" s="187"/>
      <c r="T25" s="188"/>
      <c r="U25" s="600"/>
    </row>
    <row r="26" spans="1:22" ht="17.399999999999999">
      <c r="A26" s="680"/>
      <c r="B26" s="197" t="s">
        <v>1184</v>
      </c>
      <c r="C26" s="227"/>
      <c r="D26" s="188"/>
      <c r="E26" s="188"/>
      <c r="F26" s="188"/>
      <c r="G26" s="97"/>
      <c r="H26" s="97"/>
      <c r="I26" s="97"/>
      <c r="J26" s="97"/>
      <c r="K26" s="97"/>
      <c r="L26" s="97"/>
      <c r="M26" s="97"/>
      <c r="N26" s="97"/>
      <c r="O26" s="97"/>
      <c r="P26" s="97"/>
      <c r="Q26" s="97"/>
      <c r="R26" s="97"/>
      <c r="S26" s="97"/>
      <c r="T26" s="97"/>
      <c r="U26" s="602"/>
    </row>
    <row r="27" spans="1:22" ht="11.25" customHeight="1">
      <c r="A27" s="680"/>
      <c r="B27" s="1926" t="s">
        <v>1185</v>
      </c>
      <c r="C27" s="1926"/>
      <c r="D27" s="1926"/>
      <c r="E27" s="1926"/>
      <c r="F27" s="1926"/>
      <c r="G27" s="1926"/>
      <c r="H27" s="1926"/>
      <c r="I27" s="1926"/>
      <c r="J27" s="1926"/>
      <c r="K27" s="1926"/>
      <c r="L27" s="1926"/>
      <c r="M27" s="1926"/>
      <c r="N27" s="1926"/>
      <c r="O27" s="1926"/>
      <c r="P27" s="1926"/>
      <c r="Q27" s="1926"/>
      <c r="R27" s="1926"/>
      <c r="S27" s="1926"/>
      <c r="T27" s="97"/>
      <c r="U27" s="602"/>
    </row>
    <row r="28" spans="1:22" ht="18.75" customHeight="1">
      <c r="A28" s="680"/>
      <c r="B28" s="1926"/>
      <c r="C28" s="1926"/>
      <c r="D28" s="1926"/>
      <c r="E28" s="1926"/>
      <c r="F28" s="1926"/>
      <c r="G28" s="1926"/>
      <c r="H28" s="1926"/>
      <c r="I28" s="1926"/>
      <c r="J28" s="1926"/>
      <c r="K28" s="1926"/>
      <c r="L28" s="1926"/>
      <c r="M28" s="1926"/>
      <c r="N28" s="1926"/>
      <c r="O28" s="1926"/>
      <c r="P28" s="1926"/>
      <c r="Q28" s="1926"/>
      <c r="R28" s="1926"/>
      <c r="S28" s="1926"/>
      <c r="T28" s="97"/>
      <c r="U28" s="602"/>
    </row>
    <row r="29" spans="1:22" ht="11.25" customHeight="1">
      <c r="A29" s="680"/>
      <c r="B29" s="680"/>
      <c r="C29" s="227"/>
      <c r="D29" s="188"/>
      <c r="E29" s="188"/>
      <c r="F29" s="188"/>
      <c r="G29" s="97"/>
      <c r="H29" s="97"/>
      <c r="I29" s="97"/>
      <c r="J29" s="97"/>
      <c r="K29" s="97"/>
      <c r="L29" s="97"/>
      <c r="M29" s="97"/>
      <c r="N29" s="97"/>
      <c r="O29" s="97"/>
      <c r="P29" s="97"/>
      <c r="Q29" s="97"/>
      <c r="R29" s="97"/>
      <c r="S29" s="97"/>
      <c r="T29" s="97"/>
      <c r="U29" s="602"/>
    </row>
    <row r="30" spans="1:22" ht="11.25" customHeight="1">
      <c r="A30" s="680" t="s">
        <v>1186</v>
      </c>
      <c r="B30" s="680" t="s">
        <v>1187</v>
      </c>
      <c r="C30" s="197"/>
      <c r="D30" s="188"/>
      <c r="E30" s="188"/>
      <c r="F30" s="188"/>
      <c r="G30" s="188"/>
      <c r="H30" s="188"/>
      <c r="I30" s="188"/>
      <c r="J30" s="188"/>
      <c r="K30" s="188"/>
      <c r="L30" s="188"/>
      <c r="M30" s="188"/>
      <c r="N30" s="188"/>
      <c r="O30" s="188"/>
      <c r="P30" s="188"/>
      <c r="Q30" s="188"/>
      <c r="R30" s="188"/>
      <c r="S30" s="188"/>
      <c r="T30" s="188"/>
      <c r="U30" s="600"/>
    </row>
    <row r="31" spans="1:22" ht="11.25" customHeight="1">
      <c r="A31" s="188"/>
      <c r="B31" s="680"/>
      <c r="C31" s="197"/>
      <c r="D31" s="188"/>
      <c r="E31" s="188"/>
      <c r="F31" s="188"/>
      <c r="G31" s="188"/>
      <c r="H31" s="188"/>
      <c r="I31" s="188"/>
      <c r="J31" s="188"/>
      <c r="K31" s="188"/>
      <c r="L31" s="188"/>
      <c r="M31" s="188"/>
      <c r="N31" s="188"/>
      <c r="O31" s="188"/>
      <c r="P31" s="188"/>
      <c r="Q31" s="188"/>
      <c r="R31" s="188"/>
      <c r="S31" s="188"/>
      <c r="T31" s="188"/>
      <c r="U31" s="600"/>
    </row>
    <row r="32" spans="1:22" ht="11.25" customHeight="1">
      <c r="A32" s="188"/>
      <c r="B32" s="64"/>
      <c r="C32" s="64"/>
      <c r="D32" s="64"/>
      <c r="E32" s="1177" t="s">
        <v>1188</v>
      </c>
      <c r="F32" s="399" t="s">
        <v>365</v>
      </c>
      <c r="G32" s="1006">
        <f>G19</f>
        <v>0</v>
      </c>
      <c r="H32" s="400"/>
      <c r="I32" s="397"/>
      <c r="J32" s="397"/>
      <c r="K32" s="397"/>
      <c r="L32" s="397"/>
      <c r="M32" s="397"/>
      <c r="N32" s="397"/>
      <c r="O32" s="397"/>
      <c r="P32" s="397"/>
      <c r="Q32" s="397"/>
      <c r="R32" s="397"/>
      <c r="S32" s="397"/>
      <c r="T32" s="397"/>
      <c r="U32" s="600" t="s">
        <v>1189</v>
      </c>
    </row>
    <row r="33" spans="1:21" ht="9" customHeight="1">
      <c r="A33" s="188"/>
      <c r="B33" s="188"/>
      <c r="C33" s="188"/>
      <c r="D33" s="188"/>
      <c r="E33" s="214"/>
      <c r="F33" s="188"/>
      <c r="G33" s="188"/>
      <c r="H33" s="188"/>
      <c r="I33" s="188"/>
      <c r="J33" s="188"/>
      <c r="K33" s="188"/>
      <c r="L33" s="64"/>
      <c r="M33" s="64"/>
      <c r="N33" s="188"/>
      <c r="O33" s="188"/>
      <c r="P33" s="188"/>
      <c r="Q33" s="188"/>
      <c r="R33" s="188"/>
      <c r="S33" s="188"/>
      <c r="T33" s="188"/>
      <c r="U33" s="600"/>
    </row>
    <row r="34" spans="1:21" ht="11.25" customHeight="1">
      <c r="A34" s="188"/>
      <c r="B34" s="64"/>
      <c r="C34" s="64"/>
      <c r="D34" s="365"/>
      <c r="E34" s="351"/>
      <c r="F34" s="199"/>
      <c r="G34" s="354">
        <v>1.5</v>
      </c>
      <c r="H34" s="201" t="s">
        <v>536</v>
      </c>
      <c r="I34" s="228">
        <f ca="1">$E$6</f>
        <v>0</v>
      </c>
      <c r="J34" s="356" t="s">
        <v>620</v>
      </c>
      <c r="K34" s="217">
        <f ca="1">_CTR_per_1</f>
        <v>0</v>
      </c>
      <c r="L34" s="188" t="s">
        <v>1190</v>
      </c>
      <c r="M34" s="1307" t="e">
        <f ca="1">(G34*I34/K34)</f>
        <v>#DIV/0!</v>
      </c>
      <c r="N34" s="363"/>
      <c r="O34" s="577"/>
      <c r="P34" s="577"/>
      <c r="Q34" s="363"/>
      <c r="R34" s="188"/>
      <c r="S34" s="188"/>
      <c r="T34" s="188"/>
      <c r="U34" s="600" t="s">
        <v>1191</v>
      </c>
    </row>
    <row r="35" spans="1:21" ht="11.25" customHeight="1">
      <c r="A35" s="188"/>
      <c r="B35" s="64"/>
      <c r="C35" s="64"/>
      <c r="D35" s="188"/>
      <c r="E35" s="723"/>
      <c r="F35" s="578"/>
      <c r="G35" s="364" t="s">
        <v>544</v>
      </c>
      <c r="H35" s="363"/>
      <c r="I35" s="363" t="s">
        <v>549</v>
      </c>
      <c r="J35" s="363"/>
      <c r="K35" s="577" t="s">
        <v>545</v>
      </c>
      <c r="L35" s="577"/>
      <c r="M35" s="363" t="s">
        <v>1192</v>
      </c>
      <c r="N35" s="363"/>
      <c r="O35" s="577"/>
      <c r="P35" s="577"/>
      <c r="Q35" s="363"/>
      <c r="R35" s="188"/>
      <c r="S35" s="188"/>
      <c r="T35" s="188"/>
      <c r="U35" s="600"/>
    </row>
    <row r="36" spans="1:21" ht="12.75" customHeight="1">
      <c r="A36" s="188"/>
      <c r="B36" s="197"/>
      <c r="C36" s="197"/>
      <c r="D36" s="188"/>
      <c r="E36" s="188"/>
      <c r="F36" s="188"/>
      <c r="G36" s="188"/>
      <c r="H36" s="188"/>
      <c r="I36" s="188"/>
      <c r="J36" s="188"/>
      <c r="K36" s="188"/>
      <c r="L36" s="188"/>
      <c r="M36" s="188"/>
      <c r="N36" s="188"/>
      <c r="O36" s="616" t="e">
        <f ca="1">ROUNDUP(MAX(M34,M37),3)</f>
        <v>#DIV/0!</v>
      </c>
      <c r="P36" s="188" t="s">
        <v>632</v>
      </c>
      <c r="Q36" s="689" t="e">
        <f ca="1">IF(O36&lt;=0.5,"Fault current is less than 0.5 Amps secondary, so result will not be considered for the LOP over current trip","")</f>
        <v>#DIV/0!</v>
      </c>
      <c r="R36" s="680"/>
      <c r="S36" s="188"/>
      <c r="T36" s="188"/>
      <c r="U36" s="600" t="s">
        <v>1193</v>
      </c>
    </row>
    <row r="37" spans="1:21" ht="11.25" customHeight="1">
      <c r="A37" s="188"/>
      <c r="B37" s="1974"/>
      <c r="C37" s="1974"/>
      <c r="D37" s="1974"/>
      <c r="E37" s="1977" t="s">
        <v>1194</v>
      </c>
      <c r="F37" s="188"/>
      <c r="G37" s="354">
        <v>1.25</v>
      </c>
      <c r="H37" s="188" t="s">
        <v>536</v>
      </c>
      <c r="I37" s="396">
        <f>G32</f>
        <v>0</v>
      </c>
      <c r="J37" s="201" t="s">
        <v>620</v>
      </c>
      <c r="K37" s="217">
        <f ca="1">_CTR_per_1</f>
        <v>0</v>
      </c>
      <c r="L37" s="219" t="s">
        <v>365</v>
      </c>
      <c r="M37" s="393" t="e">
        <f ca="1">(G37*I37)/K37</f>
        <v>#DIV/0!</v>
      </c>
      <c r="N37" s="188"/>
      <c r="O37" s="188"/>
      <c r="P37" s="188"/>
      <c r="Q37" s="188"/>
      <c r="R37" s="188"/>
      <c r="S37" s="188"/>
      <c r="T37" s="188"/>
      <c r="U37" s="599" t="s">
        <v>1195</v>
      </c>
    </row>
    <row r="38" spans="1:21" ht="21.75" customHeight="1">
      <c r="A38" s="188"/>
      <c r="B38" s="1974"/>
      <c r="C38" s="1974"/>
      <c r="D38" s="1974"/>
      <c r="E38" s="1977"/>
      <c r="F38" s="188"/>
      <c r="G38" s="1308" t="s">
        <v>544</v>
      </c>
      <c r="H38" s="1022"/>
      <c r="I38" s="1309" t="s">
        <v>1196</v>
      </c>
      <c r="J38" s="1022"/>
      <c r="K38" s="1310" t="s">
        <v>545</v>
      </c>
      <c r="L38" s="1022"/>
      <c r="M38" s="1022"/>
      <c r="N38" s="188"/>
      <c r="O38" s="188"/>
      <c r="P38" s="188"/>
      <c r="Q38" s="188"/>
      <c r="R38" s="188"/>
      <c r="S38" s="188"/>
      <c r="T38" s="188"/>
      <c r="U38" s="600"/>
    </row>
    <row r="39" spans="1:21" ht="11.25" customHeight="1">
      <c r="A39" s="680"/>
      <c r="B39" s="680"/>
      <c r="C39" s="227"/>
      <c r="D39" s="188"/>
      <c r="E39" s="188"/>
      <c r="F39" s="188"/>
      <c r="G39" s="97"/>
      <c r="H39" s="97"/>
      <c r="I39" s="97"/>
      <c r="J39" s="97"/>
      <c r="K39" s="97"/>
      <c r="L39" s="97"/>
      <c r="M39" s="97"/>
      <c r="N39" s="97"/>
      <c r="O39" s="97"/>
      <c r="P39" s="97"/>
      <c r="Q39" s="97"/>
      <c r="R39" s="97"/>
      <c r="S39" s="97"/>
      <c r="T39" s="97"/>
      <c r="U39" s="602"/>
    </row>
    <row r="40" spans="1:21" ht="14.25" customHeight="1">
      <c r="A40" s="680" t="s">
        <v>1197</v>
      </c>
      <c r="B40" s="680" t="s">
        <v>1198</v>
      </c>
      <c r="C40" s="227"/>
      <c r="D40" s="188"/>
      <c r="E40" s="188"/>
      <c r="F40" s="188"/>
      <c r="G40" s="97"/>
      <c r="H40" s="97"/>
      <c r="I40" s="97"/>
      <c r="J40" s="97"/>
      <c r="K40" s="97"/>
      <c r="L40" s="97"/>
      <c r="M40" s="97"/>
      <c r="N40" s="97"/>
      <c r="O40" s="97"/>
      <c r="P40" s="97"/>
      <c r="Q40" s="97"/>
      <c r="R40" s="97"/>
      <c r="S40" s="97"/>
      <c r="T40" s="97"/>
      <c r="U40" s="602"/>
    </row>
    <row r="41" spans="1:21" ht="11.25" customHeight="1">
      <c r="A41" s="680"/>
      <c r="B41" s="680"/>
      <c r="C41" s="227"/>
      <c r="D41" s="680"/>
      <c r="E41" s="680"/>
      <c r="F41" s="680"/>
      <c r="G41" s="683"/>
      <c r="H41" s="683"/>
      <c r="I41" s="683"/>
      <c r="J41" s="683"/>
      <c r="K41" s="683"/>
      <c r="L41" s="683"/>
      <c r="M41" s="683"/>
      <c r="N41" s="683"/>
      <c r="O41" s="683"/>
      <c r="P41" s="683"/>
      <c r="Q41" s="683"/>
      <c r="R41" s="683"/>
      <c r="S41" s="683"/>
      <c r="T41" s="683"/>
      <c r="U41" s="684"/>
    </row>
    <row r="42" spans="1:21" ht="14.25" customHeight="1">
      <c r="A42" s="680"/>
      <c r="B42" s="680"/>
      <c r="C42" s="227"/>
      <c r="D42" s="680"/>
      <c r="E42" s="1381" t="s">
        <v>1199</v>
      </c>
      <c r="F42" s="680" t="s">
        <v>365</v>
      </c>
      <c r="G42" s="715">
        <f>G16</f>
        <v>0</v>
      </c>
      <c r="H42" s="683"/>
      <c r="I42" s="714" t="s">
        <v>1200</v>
      </c>
      <c r="J42" s="683"/>
      <c r="K42" s="683"/>
      <c r="L42" s="683"/>
      <c r="M42" s="683"/>
      <c r="N42" s="683"/>
      <c r="O42" s="683"/>
      <c r="P42" s="683"/>
      <c r="Q42" s="683"/>
      <c r="R42" s="683"/>
      <c r="S42" s="683"/>
      <c r="T42" s="683"/>
      <c r="U42" s="600" t="s">
        <v>1201</v>
      </c>
    </row>
    <row r="43" spans="1:21" ht="17.399999999999999">
      <c r="A43" s="680"/>
      <c r="B43" s="680"/>
      <c r="C43" s="227"/>
      <c r="D43" s="680"/>
      <c r="E43" s="680"/>
      <c r="F43" s="680"/>
      <c r="G43" s="683"/>
      <c r="H43" s="683"/>
      <c r="I43" s="683"/>
      <c r="J43" s="683"/>
      <c r="K43" s="683"/>
      <c r="L43" s="683"/>
      <c r="M43" s="683"/>
      <c r="N43" s="683"/>
      <c r="O43" s="683"/>
      <c r="P43" s="683"/>
      <c r="Q43" s="683"/>
      <c r="R43" s="683"/>
      <c r="S43" s="683"/>
      <c r="T43" s="683"/>
      <c r="U43" s="684"/>
    </row>
    <row r="44" spans="1:21" ht="13.5" customHeight="1">
      <c r="A44" s="680"/>
      <c r="B44" s="680"/>
      <c r="C44" s="227"/>
      <c r="D44" s="680"/>
      <c r="E44" s="680"/>
      <c r="F44" s="680"/>
      <c r="G44" s="354">
        <v>0.8</v>
      </c>
      <c r="H44" s="201" t="s">
        <v>536</v>
      </c>
      <c r="I44" s="228">
        <f>G42</f>
        <v>0</v>
      </c>
      <c r="J44" s="356" t="s">
        <v>620</v>
      </c>
      <c r="K44" s="217">
        <f ca="1">_CTR_per_1</f>
        <v>0</v>
      </c>
      <c r="L44" s="188" t="s">
        <v>1190</v>
      </c>
      <c r="M44" s="1307" t="e">
        <f ca="1">(G44*I44/K44)</f>
        <v>#DIV/0!</v>
      </c>
      <c r="N44" s="683" t="s">
        <v>365</v>
      </c>
      <c r="O44" s="616" t="e">
        <f ca="1">M44</f>
        <v>#DIV/0!</v>
      </c>
      <c r="P44" s="683" t="s">
        <v>1202</v>
      </c>
      <c r="Q44" s="687" t="e">
        <f ca="1">IF(O44&lt;=0.5,"Fault current is less than 0.5 Amps secondary, so result will not be considered for the LOP over current trip","")</f>
        <v>#DIV/0!</v>
      </c>
      <c r="R44" s="683"/>
      <c r="S44" s="683"/>
      <c r="T44" s="683"/>
      <c r="U44" s="600" t="s">
        <v>1203</v>
      </c>
    </row>
    <row r="45" spans="1:21" ht="20.399999999999999">
      <c r="A45" s="680"/>
      <c r="B45" s="680"/>
      <c r="C45" s="227"/>
      <c r="D45" s="680"/>
      <c r="E45" s="680"/>
      <c r="F45" s="680"/>
      <c r="G45" s="1308" t="s">
        <v>544</v>
      </c>
      <c r="H45" s="1311"/>
      <c r="I45" s="748" t="s">
        <v>1204</v>
      </c>
      <c r="J45" s="1311"/>
      <c r="K45" s="1310" t="s">
        <v>545</v>
      </c>
      <c r="L45" s="1310"/>
      <c r="M45" s="1021" t="s">
        <v>1205</v>
      </c>
      <c r="N45" s="683"/>
      <c r="O45" s="683"/>
      <c r="P45" s="683"/>
      <c r="Q45" s="687" t="e">
        <f ca="1">IF((G44*I44/K44)&lt;M49,"Fault current is less than line rating, Please consider using Line differential and set the LOP overcurrent above line rating","")</f>
        <v>#DIV/0!</v>
      </c>
      <c r="R45" s="683"/>
      <c r="S45" s="683"/>
      <c r="T45" s="683"/>
      <c r="U45" s="684"/>
    </row>
    <row r="47" spans="1:21">
      <c r="A47" s="680" t="s">
        <v>1206</v>
      </c>
      <c r="B47" s="1177" t="s">
        <v>1207</v>
      </c>
      <c r="C47" s="1397"/>
      <c r="D47" s="1397"/>
      <c r="E47" s="188"/>
      <c r="F47" s="188"/>
      <c r="G47" s="364"/>
      <c r="H47" s="188"/>
      <c r="I47" s="364"/>
      <c r="J47" s="188"/>
      <c r="K47" s="577"/>
      <c r="L47" s="188"/>
      <c r="M47" s="188"/>
      <c r="N47" s="188"/>
      <c r="O47" s="188"/>
      <c r="P47" s="188"/>
      <c r="Q47" s="188"/>
      <c r="R47" s="188"/>
      <c r="S47" s="188"/>
      <c r="T47" s="188"/>
      <c r="U47" s="600"/>
    </row>
    <row r="48" spans="1:21">
      <c r="A48" s="680"/>
      <c r="B48" s="1177"/>
      <c r="C48" s="1397"/>
      <c r="D48" s="1397"/>
      <c r="E48" s="188"/>
      <c r="F48" s="188"/>
      <c r="G48" s="364"/>
      <c r="H48" s="188"/>
      <c r="I48" s="364"/>
      <c r="J48" s="188"/>
      <c r="K48" s="577"/>
      <c r="L48" s="188"/>
      <c r="M48" s="188"/>
      <c r="N48" s="188"/>
      <c r="O48" s="188"/>
      <c r="P48" s="188"/>
      <c r="Q48" s="188"/>
      <c r="R48" s="188"/>
      <c r="S48" s="188"/>
      <c r="T48" s="188"/>
      <c r="U48" s="600"/>
    </row>
    <row r="49" spans="1:21">
      <c r="A49" s="680"/>
      <c r="B49" s="1177"/>
      <c r="C49" s="1397"/>
      <c r="D49" s="1397"/>
      <c r="E49" s="1381" t="s">
        <v>1208</v>
      </c>
      <c r="F49" s="188"/>
      <c r="G49" s="354">
        <v>1.1499999999999999</v>
      </c>
      <c r="H49" s="201" t="s">
        <v>536</v>
      </c>
      <c r="I49" s="228">
        <f ca="1">$E$6</f>
        <v>0</v>
      </c>
      <c r="J49" s="356" t="s">
        <v>620</v>
      </c>
      <c r="K49" s="217">
        <f ca="1">_CTR_per_1</f>
        <v>0</v>
      </c>
      <c r="L49" s="188" t="s">
        <v>1190</v>
      </c>
      <c r="M49" s="1307" t="e">
        <f ca="1">(G49*I49/K49)</f>
        <v>#DIV/0!</v>
      </c>
      <c r="N49" s="188"/>
      <c r="O49" s="188"/>
      <c r="P49" s="188"/>
      <c r="Q49" s="188"/>
      <c r="R49" s="188"/>
      <c r="S49" s="188"/>
      <c r="T49" s="188"/>
      <c r="U49" s="599" t="s">
        <v>1209</v>
      </c>
    </row>
    <row r="50" spans="1:21" ht="21">
      <c r="A50" s="680"/>
      <c r="B50" s="1177"/>
      <c r="C50" s="1397"/>
      <c r="D50" s="1397"/>
      <c r="E50" s="188"/>
      <c r="F50" s="188"/>
      <c r="G50" s="1308" t="s">
        <v>544</v>
      </c>
      <c r="H50" s="1311"/>
      <c r="I50" s="1311" t="s">
        <v>549</v>
      </c>
      <c r="J50" s="1311"/>
      <c r="K50" s="1310" t="s">
        <v>545</v>
      </c>
      <c r="L50" s="577"/>
      <c r="M50" s="1020" t="s">
        <v>1210</v>
      </c>
      <c r="N50" s="188"/>
      <c r="O50" s="188"/>
      <c r="P50" s="188"/>
      <c r="Q50" s="188"/>
      <c r="R50" s="188"/>
      <c r="S50" s="188"/>
      <c r="T50" s="188"/>
      <c r="U50" s="600"/>
    </row>
    <row r="51" spans="1:21">
      <c r="A51" s="188"/>
      <c r="B51" s="1397"/>
      <c r="C51" s="1397"/>
      <c r="D51" s="1397"/>
      <c r="E51" s="188"/>
      <c r="F51" s="188"/>
      <c r="G51" s="364"/>
      <c r="H51" s="188"/>
      <c r="I51" s="364"/>
      <c r="J51" s="188"/>
      <c r="K51" s="577"/>
      <c r="L51" s="188"/>
      <c r="M51" s="188"/>
      <c r="N51" s="188"/>
      <c r="O51" s="188"/>
      <c r="P51" s="188"/>
      <c r="Q51" s="188"/>
      <c r="R51" s="188"/>
      <c r="S51" s="188"/>
      <c r="T51" s="188"/>
      <c r="U51" s="600"/>
    </row>
    <row r="52" spans="1:21" ht="16.5" customHeight="1">
      <c r="A52" s="188"/>
      <c r="B52" s="680"/>
      <c r="C52" s="227"/>
      <c r="D52" s="680"/>
      <c r="E52" s="1381" t="s">
        <v>1211</v>
      </c>
      <c r="F52" s="680" t="s">
        <v>365</v>
      </c>
      <c r="G52" s="1019">
        <f>G21</f>
        <v>0</v>
      </c>
      <c r="H52" s="683"/>
      <c r="I52" s="683"/>
      <c r="J52" s="683"/>
      <c r="K52" s="683"/>
      <c r="L52" s="683"/>
      <c r="M52" s="683"/>
      <c r="N52" s="683"/>
      <c r="O52" s="686" t="e">
        <f ca="1">ROUNDUP(MAX(M49,M54),3)</f>
        <v>#DIV/0!</v>
      </c>
      <c r="P52" s="680" t="s">
        <v>632</v>
      </c>
      <c r="Q52" s="688" t="e">
        <f ca="1">IF(O52&lt;=0.5,"Fault current is less than 0.5 Amps secondary, so result will not be considered for the LOP over current trip","")</f>
        <v>#DIV/0!</v>
      </c>
      <c r="R52" s="188"/>
      <c r="S52" s="188"/>
      <c r="T52" s="188"/>
      <c r="U52" s="599" t="s">
        <v>1212</v>
      </c>
    </row>
    <row r="53" spans="1:21" ht="15.75" customHeight="1">
      <c r="A53" s="188"/>
      <c r="B53" s="680"/>
      <c r="C53" s="227"/>
      <c r="D53" s="680"/>
      <c r="E53" s="680"/>
      <c r="F53" s="680"/>
      <c r="G53" s="683"/>
      <c r="H53" s="683"/>
      <c r="I53" s="683"/>
      <c r="J53" s="683"/>
      <c r="K53" s="683"/>
      <c r="L53" s="683"/>
      <c r="M53" s="683"/>
      <c r="N53" s="683"/>
      <c r="O53" s="683"/>
      <c r="P53" s="188"/>
      <c r="Q53" s="188"/>
      <c r="R53" s="188"/>
      <c r="S53" s="188"/>
      <c r="T53" s="188"/>
      <c r="U53" s="599" t="s">
        <v>1213</v>
      </c>
    </row>
    <row r="54" spans="1:21" ht="15.75" customHeight="1">
      <c r="A54" s="188"/>
      <c r="B54" s="680"/>
      <c r="C54" s="227"/>
      <c r="D54" s="680"/>
      <c r="E54" s="680"/>
      <c r="F54" s="680"/>
      <c r="G54" s="354">
        <v>0.8</v>
      </c>
      <c r="H54" s="201" t="s">
        <v>536</v>
      </c>
      <c r="I54" s="228">
        <f>G52</f>
        <v>0</v>
      </c>
      <c r="J54" s="356" t="s">
        <v>620</v>
      </c>
      <c r="K54" s="217">
        <f ca="1">_CTR_per_1</f>
        <v>0</v>
      </c>
      <c r="L54" s="188" t="s">
        <v>1190</v>
      </c>
      <c r="M54" s="1307" t="e">
        <f ca="1">(G54*I54/K54)</f>
        <v>#DIV/0!</v>
      </c>
      <c r="N54" s="683"/>
      <c r="O54" s="683"/>
      <c r="P54" s="188"/>
      <c r="Q54" s="188"/>
      <c r="R54" s="188"/>
      <c r="S54" s="188"/>
      <c r="T54" s="188"/>
      <c r="U54" s="600"/>
    </row>
    <row r="55" spans="1:21" ht="34.5" customHeight="1">
      <c r="A55" s="188"/>
      <c r="B55" s="680"/>
      <c r="C55" s="227"/>
      <c r="D55" s="680"/>
      <c r="E55" s="680"/>
      <c r="F55" s="680"/>
      <c r="G55" s="1308" t="s">
        <v>544</v>
      </c>
      <c r="H55" s="1311"/>
      <c r="I55" s="748" t="s">
        <v>1214</v>
      </c>
      <c r="J55" s="1311"/>
      <c r="K55" s="1310" t="s">
        <v>545</v>
      </c>
      <c r="L55" s="1310"/>
      <c r="M55" s="1021" t="s">
        <v>1205</v>
      </c>
      <c r="N55" s="683"/>
      <c r="O55" s="683"/>
      <c r="P55" s="188"/>
      <c r="Q55" s="188"/>
      <c r="R55" s="188"/>
      <c r="S55" s="188"/>
      <c r="T55" s="188"/>
      <c r="U55" s="599" t="s">
        <v>1215</v>
      </c>
    </row>
    <row r="56" spans="1:21">
      <c r="A56" s="188"/>
      <c r="B56" s="188"/>
      <c r="C56" s="723"/>
      <c r="D56" s="578"/>
      <c r="E56" s="363"/>
      <c r="F56" s="363"/>
      <c r="G56" s="1190"/>
      <c r="H56" s="1190"/>
      <c r="I56" s="363"/>
      <c r="J56" s="363"/>
      <c r="K56" s="1035" t="e">
        <f ca="1">IF(OR(ROUNDUP(IF(O52&gt;O36,O52,MIN(O36,O44)),3)&lt;0.5,AND(K58&lt;0.5,NOT(ISBLANK(K58)))),"Note:  Min fault current is below 0.5 A sec and it is set to be 0.5 A sec per Standar CM1704",IF(K57&gt;100,"Note: Max fault current is 100 A sec",""))</f>
        <v>#DIV/0!</v>
      </c>
      <c r="L56" s="578"/>
      <c r="M56" s="577"/>
      <c r="N56" s="363"/>
      <c r="O56" s="577"/>
      <c r="P56" s="577"/>
      <c r="Q56" s="363"/>
      <c r="R56" s="188"/>
      <c r="S56" s="220" t="s">
        <v>26</v>
      </c>
      <c r="T56" s="188"/>
      <c r="U56" s="600"/>
    </row>
    <row r="57" spans="1:21">
      <c r="A57" s="188"/>
      <c r="B57" s="229"/>
      <c r="C57" s="188"/>
      <c r="D57" s="188"/>
      <c r="E57" s="64"/>
      <c r="F57" s="64"/>
      <c r="G57" s="64"/>
      <c r="H57" s="64"/>
      <c r="I57" s="197"/>
      <c r="J57" s="198"/>
      <c r="K57" s="616" t="e">
        <f ca="1">IF(ROUNDUP(IF(O52&gt;O36,O52,MIN(O36,O44)),3)&lt;0.5,0.5,ROUNDUP(IF(O52&gt;O36,O52,MIN(O36,O44)),3))</f>
        <v>#DIV/0!</v>
      </c>
      <c r="L57" s="188" t="s">
        <v>632</v>
      </c>
      <c r="M57" s="188"/>
      <c r="N57" s="188"/>
      <c r="O57" s="188"/>
      <c r="P57" s="188"/>
      <c r="Q57" s="348" t="s">
        <v>1216</v>
      </c>
      <c r="R57" s="199" t="s">
        <v>378</v>
      </c>
      <c r="S57" s="367" t="e">
        <f ca="1">IF(K58=0,K57,IF(K58&lt;0.5,0.5,K58))</f>
        <v>#DIV/0!</v>
      </c>
      <c r="T57" s="188"/>
      <c r="U57" s="599" t="s">
        <v>1217</v>
      </c>
    </row>
    <row r="58" spans="1:21" ht="15" customHeight="1">
      <c r="A58" s="188"/>
      <c r="B58" s="188"/>
      <c r="C58" s="188"/>
      <c r="D58" s="188"/>
      <c r="E58" s="64"/>
      <c r="F58" s="64"/>
      <c r="G58" s="64"/>
      <c r="H58" s="64"/>
      <c r="I58" s="103" t="s">
        <v>573</v>
      </c>
      <c r="J58" s="47" t="s">
        <v>378</v>
      </c>
      <c r="K58" s="146"/>
      <c r="L58" s="188"/>
      <c r="M58" s="188"/>
      <c r="N58" s="188"/>
      <c r="O58" s="188"/>
      <c r="P58" s="188"/>
      <c r="Q58" s="348" t="s">
        <v>1218</v>
      </c>
      <c r="R58" s="199" t="s">
        <v>378</v>
      </c>
      <c r="S58" s="367" t="e">
        <f ca="1">IF(K58=0,K57,IF(K58&lt;0.5,0.5,K58))</f>
        <v>#DIV/0!</v>
      </c>
      <c r="T58" s="188"/>
      <c r="U58" s="599" t="s">
        <v>1219</v>
      </c>
    </row>
    <row r="59" spans="1:21">
      <c r="A59" s="224"/>
      <c r="B59" s="187"/>
      <c r="C59" s="187"/>
      <c r="D59" s="187"/>
      <c r="E59" s="187"/>
      <c r="F59" s="187"/>
      <c r="G59" s="187"/>
      <c r="H59" s="187"/>
      <c r="I59" s="225"/>
      <c r="J59" s="225"/>
      <c r="K59" s="187"/>
      <c r="L59" s="187"/>
      <c r="M59" s="226"/>
      <c r="N59" s="187"/>
      <c r="O59" s="187"/>
      <c r="P59" s="187"/>
      <c r="Q59" s="187"/>
      <c r="R59" s="187"/>
      <c r="S59" s="187"/>
      <c r="T59" s="188"/>
      <c r="U59" s="600"/>
    </row>
    <row r="60" spans="1:21" ht="17.399999999999999">
      <c r="A60" s="680"/>
      <c r="B60" s="197" t="s">
        <v>1220</v>
      </c>
      <c r="C60" s="227"/>
      <c r="D60" s="188"/>
      <c r="E60" s="188"/>
      <c r="F60" s="188"/>
      <c r="G60" s="97"/>
      <c r="H60" s="97"/>
      <c r="I60" s="97"/>
      <c r="J60" s="97"/>
      <c r="K60" s="97"/>
      <c r="L60" s="97"/>
      <c r="M60" s="97"/>
      <c r="N60" s="97"/>
      <c r="O60" s="97"/>
      <c r="P60" s="97"/>
      <c r="Q60" s="97"/>
      <c r="R60" s="97"/>
      <c r="S60" s="97"/>
      <c r="T60" s="97"/>
      <c r="U60" s="602"/>
    </row>
    <row r="61" spans="1:21">
      <c r="A61" s="64"/>
      <c r="B61" s="1975" t="s">
        <v>1221</v>
      </c>
      <c r="C61" s="1975"/>
      <c r="D61" s="1975"/>
      <c r="E61" s="1975"/>
      <c r="F61" s="1975"/>
      <c r="G61" s="1975"/>
      <c r="H61" s="1975"/>
      <c r="I61" s="1975"/>
      <c r="J61" s="1975"/>
      <c r="K61" s="1975"/>
      <c r="L61" s="1975"/>
      <c r="M61" s="1975"/>
      <c r="N61" s="1975"/>
      <c r="O61" s="1975"/>
      <c r="P61" s="1975"/>
      <c r="Q61" s="1975"/>
      <c r="R61" s="1975"/>
      <c r="S61" s="1975"/>
      <c r="T61" s="64"/>
      <c r="U61" s="599"/>
    </row>
    <row r="62" spans="1:21">
      <c r="A62" s="64"/>
      <c r="B62" s="1975"/>
      <c r="C62" s="1975"/>
      <c r="D62" s="1975"/>
      <c r="E62" s="1975"/>
      <c r="F62" s="1975"/>
      <c r="G62" s="1975"/>
      <c r="H62" s="1975"/>
      <c r="I62" s="1975"/>
      <c r="J62" s="1975"/>
      <c r="K62" s="1975"/>
      <c r="L62" s="1975"/>
      <c r="M62" s="1975"/>
      <c r="N62" s="1975"/>
      <c r="O62" s="1975"/>
      <c r="P62" s="1975"/>
      <c r="Q62" s="1975"/>
      <c r="R62" s="1975"/>
      <c r="S62" s="1975"/>
      <c r="T62" s="64"/>
      <c r="U62" s="599"/>
    </row>
    <row r="63" spans="1:21">
      <c r="A63" s="64"/>
      <c r="B63" s="680"/>
      <c r="C63" s="723"/>
      <c r="D63" s="578"/>
      <c r="E63" s="363"/>
      <c r="F63" s="363"/>
      <c r="G63" s="1190"/>
      <c r="H63" s="1190"/>
      <c r="I63" s="363"/>
      <c r="J63" s="363"/>
      <c r="K63" s="577"/>
      <c r="L63" s="578"/>
      <c r="M63" s="577"/>
      <c r="N63" s="363"/>
      <c r="O63" s="577"/>
      <c r="P63" s="578"/>
      <c r="Q63" s="363"/>
      <c r="R63" s="680"/>
      <c r="S63" s="680"/>
      <c r="T63" s="64"/>
      <c r="U63" s="599"/>
    </row>
    <row r="64" spans="1:21">
      <c r="A64" s="64"/>
      <c r="B64" s="1381"/>
      <c r="C64" s="202" t="str">
        <f>100*E64&amp;"% 1LG Fault amps secondary"</f>
        <v>80% 1LG Fault amps secondary</v>
      </c>
      <c r="D64" s="199" t="s">
        <v>535</v>
      </c>
      <c r="E64" s="848">
        <v>0.8</v>
      </c>
      <c r="F64" s="201" t="s">
        <v>536</v>
      </c>
      <c r="G64" s="216">
        <f>G23</f>
        <v>0</v>
      </c>
      <c r="H64" s="1199" t="s">
        <v>537</v>
      </c>
      <c r="I64" s="217">
        <f ca="1">_CTR_per_1</f>
        <v>0</v>
      </c>
      <c r="J64" s="219" t="s">
        <v>365</v>
      </c>
      <c r="K64" s="372">
        <f>E64</f>
        <v>0.8</v>
      </c>
      <c r="L64" s="188" t="s">
        <v>536</v>
      </c>
      <c r="M64" s="371" t="e">
        <f ca="1">G64/I64</f>
        <v>#DIV/0!</v>
      </c>
      <c r="N64" s="219" t="s">
        <v>365</v>
      </c>
      <c r="O64" s="355" t="e">
        <f ca="1">M64*K64</f>
        <v>#DIV/0!</v>
      </c>
      <c r="P64" s="188" t="s">
        <v>632</v>
      </c>
      <c r="R64" s="1198"/>
      <c r="S64" s="223"/>
      <c r="T64" s="64"/>
      <c r="U64" s="599" t="s">
        <v>1222</v>
      </c>
    </row>
    <row r="65" spans="1:23">
      <c r="A65" s="188"/>
      <c r="B65" s="188"/>
      <c r="C65" s="363"/>
      <c r="D65" s="577"/>
      <c r="E65" s="364" t="s">
        <v>544</v>
      </c>
      <c r="F65" s="363"/>
      <c r="G65" s="524" t="s">
        <v>1223</v>
      </c>
      <c r="H65" s="1190"/>
      <c r="I65" s="577" t="s">
        <v>545</v>
      </c>
      <c r="J65" s="363"/>
      <c r="K65" s="364" t="s">
        <v>544</v>
      </c>
      <c r="L65" s="577"/>
      <c r="M65" s="363" t="s">
        <v>1224</v>
      </c>
      <c r="N65" s="363"/>
      <c r="O65" s="577" t="s">
        <v>1225</v>
      </c>
      <c r="P65" s="188"/>
      <c r="Q65" s="1176"/>
      <c r="R65" s="1176"/>
      <c r="S65" s="723"/>
      <c r="T65" s="64"/>
      <c r="U65" s="599"/>
    </row>
    <row r="66" spans="1:23">
      <c r="A66" s="188"/>
      <c r="B66" s="188"/>
      <c r="C66" s="363"/>
      <c r="D66" s="577"/>
      <c r="E66" s="364"/>
      <c r="F66" s="363"/>
      <c r="G66" s="524"/>
      <c r="H66" s="1190"/>
      <c r="I66" s="577"/>
      <c r="J66" s="363"/>
      <c r="K66" s="364"/>
      <c r="L66" s="577"/>
      <c r="M66" s="363"/>
      <c r="N66" s="363"/>
      <c r="O66" s="577"/>
      <c r="P66" s="188"/>
      <c r="Q66" s="1176"/>
      <c r="R66" s="1176"/>
      <c r="S66" s="723"/>
      <c r="T66" s="64"/>
      <c r="U66" s="599"/>
    </row>
    <row r="67" spans="1:23">
      <c r="A67" s="188"/>
      <c r="B67" s="188"/>
      <c r="C67" s="363"/>
      <c r="D67" s="577"/>
      <c r="E67" s="1200"/>
      <c r="F67" s="363"/>
      <c r="G67" s="1190"/>
      <c r="H67" s="1190"/>
      <c r="I67" s="577"/>
      <c r="J67" s="363"/>
      <c r="K67" s="1976" t="e">
        <f ca="1">IF(O64&lt;0.5,"Note:  Min fault current is below 0.5 A sec, and it is set to 0.5 A sec.",IF(O64&gt;16,"Note: Max fault current is 16 A sec",""))</f>
        <v>#DIV/0!</v>
      </c>
      <c r="L67" s="1976"/>
      <c r="M67" s="1976"/>
      <c r="N67" s="1976"/>
      <c r="O67" s="1976"/>
      <c r="P67" s="1976"/>
      <c r="Q67" s="1976"/>
      <c r="R67" s="188"/>
      <c r="S67" s="220" t="s">
        <v>26</v>
      </c>
      <c r="T67" s="64"/>
      <c r="U67" s="599" t="s">
        <v>1226</v>
      </c>
    </row>
    <row r="68" spans="1:23">
      <c r="A68" s="188"/>
      <c r="B68" s="64"/>
      <c r="C68" s="64"/>
      <c r="D68" s="64"/>
      <c r="E68" s="64"/>
      <c r="F68" s="64"/>
      <c r="G68" s="64"/>
      <c r="H68" s="64"/>
      <c r="I68" s="229"/>
      <c r="J68" s="64"/>
      <c r="K68" s="522" t="e">
        <f ca="1">IF(O64&lt;1,MAX(0.5,120/I64,IF(O64&gt;16,16,O64)),1)</f>
        <v>#DIV/0!</v>
      </c>
      <c r="L68" s="188" t="s">
        <v>632</v>
      </c>
      <c r="M68" s="64"/>
      <c r="N68" s="188"/>
      <c r="O68" s="188"/>
      <c r="P68" s="188"/>
      <c r="Q68" s="1381" t="s">
        <v>1227</v>
      </c>
      <c r="R68" s="199" t="s">
        <v>378</v>
      </c>
      <c r="S68" s="367" t="e">
        <f ca="1">IF(K69=0,K68,K69)</f>
        <v>#DIV/0!</v>
      </c>
      <c r="T68" s="188"/>
      <c r="U68" s="599" t="s">
        <v>1228</v>
      </c>
    </row>
    <row r="69" spans="1:23">
      <c r="A69" s="188"/>
      <c r="B69" s="64"/>
      <c r="C69" s="64"/>
      <c r="D69" s="64"/>
      <c r="E69" s="64"/>
      <c r="F69" s="64"/>
      <c r="G69" s="103"/>
      <c r="H69" s="103"/>
      <c r="I69" s="103" t="s">
        <v>573</v>
      </c>
      <c r="J69" s="47" t="s">
        <v>378</v>
      </c>
      <c r="K69" s="849"/>
      <c r="M69" s="188"/>
      <c r="N69" s="188"/>
      <c r="O69" s="188"/>
      <c r="P69" s="188"/>
      <c r="Q69" s="1381" t="s">
        <v>1229</v>
      </c>
      <c r="R69" s="199" t="s">
        <v>378</v>
      </c>
      <c r="S69" s="367" t="e">
        <f ca="1">IF(K69=0,K68,K69)</f>
        <v>#DIV/0!</v>
      </c>
      <c r="T69" s="188"/>
      <c r="U69" s="599" t="s">
        <v>1230</v>
      </c>
    </row>
    <row r="70" spans="1:23">
      <c r="A70" s="188"/>
      <c r="B70" s="64"/>
      <c r="C70" s="64"/>
      <c r="D70" s="64"/>
      <c r="E70" s="64"/>
      <c r="F70" s="64"/>
      <c r="G70" s="103"/>
      <c r="H70" s="103"/>
      <c r="I70" s="103"/>
      <c r="J70" s="47"/>
      <c r="K70" s="693"/>
      <c r="M70" s="188"/>
      <c r="N70" s="188"/>
      <c r="O70" s="188"/>
      <c r="P70" s="188"/>
      <c r="Q70" s="618"/>
      <c r="R70" s="199"/>
      <c r="S70" s="406"/>
      <c r="T70" s="188"/>
      <c r="U70" s="599"/>
    </row>
    <row r="71" spans="1:23">
      <c r="A71" s="188"/>
      <c r="B71" s="282"/>
      <c r="C71" s="54"/>
      <c r="D71" s="64"/>
      <c r="E71" s="54" t="s">
        <v>1231</v>
      </c>
      <c r="F71" s="64" t="s">
        <v>365</v>
      </c>
      <c r="G71" s="715">
        <f>G17</f>
        <v>0</v>
      </c>
      <c r="H71" s="103"/>
      <c r="I71" s="103"/>
      <c r="J71" s="47"/>
      <c r="K71" s="693"/>
      <c r="M71" s="188"/>
      <c r="N71" s="188"/>
      <c r="O71" s="188"/>
      <c r="P71" s="188"/>
      <c r="Q71" s="618"/>
      <c r="R71" s="199"/>
      <c r="S71" s="220" t="s">
        <v>26</v>
      </c>
      <c r="T71" s="188"/>
      <c r="U71" s="599" t="s">
        <v>1232</v>
      </c>
    </row>
    <row r="72" spans="1:23">
      <c r="A72" s="188"/>
      <c r="B72" s="282"/>
      <c r="C72" s="54"/>
      <c r="D72" s="64"/>
      <c r="E72" s="54"/>
      <c r="F72" s="64"/>
      <c r="G72" s="1312"/>
      <c r="H72" s="103"/>
      <c r="I72" s="103"/>
      <c r="J72" s="47"/>
      <c r="K72" s="693"/>
      <c r="M72" s="188"/>
      <c r="N72" s="188"/>
      <c r="O72" s="188"/>
      <c r="P72" s="188"/>
      <c r="Q72" s="618"/>
      <c r="R72" s="199"/>
      <c r="S72" s="406"/>
      <c r="T72" s="188"/>
      <c r="U72" s="599"/>
    </row>
    <row r="73" spans="1:23">
      <c r="A73" s="188"/>
      <c r="B73" s="282"/>
      <c r="C73" s="54"/>
      <c r="D73" s="64"/>
      <c r="E73" s="54"/>
      <c r="F73" s="64"/>
      <c r="G73" s="354">
        <v>1</v>
      </c>
      <c r="H73" s="201" t="s">
        <v>536</v>
      </c>
      <c r="I73" s="228">
        <f>G71</f>
        <v>0</v>
      </c>
      <c r="J73" s="356" t="s">
        <v>620</v>
      </c>
      <c r="K73" s="217">
        <f ca="1">_CTR_per_1</f>
        <v>0</v>
      </c>
      <c r="L73" s="188" t="s">
        <v>1190</v>
      </c>
      <c r="M73" s="1307" t="e">
        <f ca="1">(G73*I73/K73)</f>
        <v>#DIV/0!</v>
      </c>
      <c r="N73" s="188" t="s">
        <v>632</v>
      </c>
      <c r="O73" s="683"/>
      <c r="P73" s="188"/>
      <c r="Q73" s="1381" t="s">
        <v>1233</v>
      </c>
      <c r="R73" s="199" t="s">
        <v>378</v>
      </c>
      <c r="S73" s="367" t="e">
        <f ca="1">IF(G90=0,G89,G90)</f>
        <v>#DIV/0!</v>
      </c>
      <c r="T73" s="188"/>
      <c r="U73" s="599" t="s">
        <v>1234</v>
      </c>
      <c r="W73" s="670"/>
    </row>
    <row r="74" spans="1:23">
      <c r="A74" s="188"/>
      <c r="B74" s="64"/>
      <c r="C74" s="64"/>
      <c r="D74" s="64"/>
      <c r="E74" s="64"/>
      <c r="F74" s="64"/>
      <c r="G74" s="364" t="s">
        <v>544</v>
      </c>
      <c r="H74" s="363"/>
      <c r="I74" s="363" t="s">
        <v>1235</v>
      </c>
      <c r="J74" s="363"/>
      <c r="K74" s="577" t="s">
        <v>545</v>
      </c>
      <c r="L74" s="577"/>
      <c r="M74" s="685" t="s">
        <v>1235</v>
      </c>
      <c r="N74" s="683"/>
      <c r="O74" s="683"/>
      <c r="P74" s="188"/>
      <c r="Q74" s="699" t="s">
        <v>1236</v>
      </c>
      <c r="R74" s="199" t="s">
        <v>378</v>
      </c>
      <c r="S74" s="367" t="e">
        <f ca="1">IF(G90=0,G89,G90)</f>
        <v>#DIV/0!</v>
      </c>
      <c r="T74" s="188"/>
      <c r="U74" s="599" t="s">
        <v>1237</v>
      </c>
    </row>
    <row r="75" spans="1:23">
      <c r="A75" s="188"/>
      <c r="B75" s="64"/>
      <c r="C75" s="64"/>
      <c r="D75" s="64"/>
      <c r="E75" s="54" t="s">
        <v>1238</v>
      </c>
      <c r="F75" s="694" t="s">
        <v>365</v>
      </c>
      <c r="G75" s="855" t="s">
        <v>1239</v>
      </c>
      <c r="H75" s="363"/>
      <c r="I75" s="363"/>
      <c r="J75" s="363"/>
      <c r="K75" s="577"/>
      <c r="L75" s="577"/>
      <c r="M75" s="685"/>
      <c r="N75" s="683"/>
      <c r="O75" s="683"/>
      <c r="P75" s="188"/>
      <c r="Q75" s="618"/>
      <c r="R75" s="199"/>
      <c r="S75" s="406"/>
      <c r="T75" s="188"/>
      <c r="U75" s="599" t="s">
        <v>1240</v>
      </c>
    </row>
    <row r="76" spans="1:23">
      <c r="A76" s="188"/>
      <c r="B76" s="64"/>
      <c r="C76" s="64"/>
      <c r="D76" s="64"/>
      <c r="E76" s="64"/>
      <c r="F76" s="64"/>
      <c r="G76" s="364"/>
      <c r="H76" s="363"/>
      <c r="I76" s="363"/>
      <c r="J76" s="363"/>
      <c r="K76" s="577"/>
      <c r="L76" s="577"/>
      <c r="M76" s="685"/>
      <c r="N76" s="683"/>
      <c r="O76" s="683"/>
      <c r="P76" s="188"/>
      <c r="Q76" s="618"/>
      <c r="R76" s="199"/>
      <c r="S76" s="406"/>
      <c r="T76" s="188"/>
      <c r="U76" s="599"/>
    </row>
    <row r="77" spans="1:23">
      <c r="A77" s="188"/>
      <c r="B77" s="64"/>
      <c r="C77" s="64"/>
      <c r="D77" s="64"/>
      <c r="E77" s="699" t="s">
        <v>1241</v>
      </c>
      <c r="F77" s="694" t="s">
        <v>365</v>
      </c>
      <c r="G77" s="718">
        <v>65</v>
      </c>
      <c r="H77" s="350"/>
      <c r="I77" s="1177" t="s">
        <v>1242</v>
      </c>
      <c r="J77" s="363"/>
      <c r="L77" s="577"/>
      <c r="M77" s="685"/>
      <c r="N77" s="683"/>
      <c r="O77" s="683"/>
      <c r="P77" s="188"/>
      <c r="Q77" s="618"/>
      <c r="R77" s="199"/>
      <c r="S77" s="406"/>
      <c r="T77" s="188"/>
      <c r="U77" s="599" t="s">
        <v>1243</v>
      </c>
    </row>
    <row r="78" spans="1:23">
      <c r="A78" s="188"/>
      <c r="B78" s="64"/>
      <c r="C78" s="64"/>
      <c r="D78" s="64"/>
      <c r="E78" s="64"/>
      <c r="F78" s="64"/>
      <c r="G78" s="364"/>
      <c r="H78" s="363"/>
      <c r="I78" s="363"/>
      <c r="J78" s="363"/>
      <c r="L78" s="577"/>
      <c r="M78" s="685"/>
      <c r="N78" s="683"/>
      <c r="O78" s="683"/>
      <c r="P78" s="188"/>
      <c r="Q78" s="618"/>
      <c r="R78" s="199"/>
      <c r="S78" s="406"/>
      <c r="T78" s="188"/>
      <c r="U78" s="599"/>
    </row>
    <row r="79" spans="1:23" ht="51.75" customHeight="1">
      <c r="A79" s="188"/>
      <c r="B79" s="64"/>
      <c r="C79" s="64"/>
      <c r="D79" s="64"/>
      <c r="E79" s="699" t="s">
        <v>1244</v>
      </c>
      <c r="F79" s="694" t="s">
        <v>365</v>
      </c>
      <c r="G79" s="1307" t="e">
        <f ca="1">ROUND((G77/60)/(VLOOKUP(G75,AB176:AE182,2,FALSE)+(VLOOKUP(G75,AB178:AE182,3,FALSE)/(((M73/_51S1P)^VLOOKUP(G75,AB178:AE182,4,FALSE))-1))),2)</f>
        <v>#DIV/0!</v>
      </c>
      <c r="H79" s="363"/>
      <c r="I79" s="1969" t="s">
        <v>1245</v>
      </c>
      <c r="J79" s="1969"/>
      <c r="K79" s="1969"/>
      <c r="L79" s="1969"/>
      <c r="M79" s="1969"/>
      <c r="N79" s="1969"/>
      <c r="O79" s="1969"/>
      <c r="P79" s="1969"/>
      <c r="Q79" s="1969"/>
      <c r="R79" s="1969"/>
      <c r="S79" s="1969"/>
      <c r="T79" s="1969"/>
      <c r="U79" s="1969"/>
      <c r="V79" s="1969"/>
    </row>
    <row r="80" spans="1:23">
      <c r="A80" s="188"/>
      <c r="B80" s="64"/>
      <c r="C80" s="64"/>
      <c r="D80" s="64"/>
      <c r="E80" s="699"/>
      <c r="F80" s="694"/>
      <c r="G80" s="363"/>
      <c r="H80" s="363"/>
      <c r="I80" s="685"/>
      <c r="J80" s="363"/>
      <c r="K80" s="685"/>
      <c r="L80" s="577"/>
      <c r="M80" s="685"/>
      <c r="N80" s="683"/>
      <c r="O80" s="683"/>
      <c r="P80" s="188"/>
      <c r="Q80" s="618"/>
      <c r="R80" s="199"/>
      <c r="S80" s="406"/>
      <c r="T80" s="188"/>
      <c r="U80" s="599" t="s">
        <v>1246</v>
      </c>
    </row>
    <row r="81" spans="1:22">
      <c r="A81" s="188"/>
      <c r="B81" s="64"/>
      <c r="C81" s="64"/>
      <c r="D81" s="64"/>
      <c r="E81" s="699" t="s">
        <v>1247</v>
      </c>
      <c r="F81" s="64" t="s">
        <v>365</v>
      </c>
      <c r="G81" s="715">
        <f>G24</f>
        <v>0</v>
      </c>
      <c r="H81" s="363"/>
      <c r="I81" s="363"/>
      <c r="J81" s="363"/>
      <c r="K81" s="685"/>
      <c r="L81" s="577"/>
      <c r="M81" s="685"/>
      <c r="N81" s="683"/>
      <c r="O81" s="683"/>
      <c r="P81" s="188"/>
      <c r="Q81" s="618"/>
      <c r="R81" s="199"/>
      <c r="S81" s="406"/>
      <c r="T81" s="188"/>
      <c r="U81" s="599" t="s">
        <v>1248</v>
      </c>
    </row>
    <row r="82" spans="1:22">
      <c r="A82" s="188"/>
      <c r="B82" s="64"/>
      <c r="C82" s="64"/>
      <c r="D82" s="64"/>
      <c r="E82" s="699"/>
      <c r="F82" s="64"/>
      <c r="G82" s="1313"/>
      <c r="H82" s="363"/>
      <c r="I82" s="363"/>
      <c r="J82" s="363"/>
      <c r="K82" s="685"/>
      <c r="L82" s="577"/>
      <c r="M82" s="685"/>
      <c r="N82" s="683"/>
      <c r="O82" s="683"/>
      <c r="P82" s="188"/>
      <c r="Q82" s="618"/>
      <c r="R82" s="199"/>
      <c r="S82" s="406"/>
      <c r="T82" s="188"/>
      <c r="U82" s="599"/>
    </row>
    <row r="83" spans="1:22">
      <c r="A83" s="188"/>
      <c r="B83" s="64"/>
      <c r="C83" s="64"/>
      <c r="D83" s="64"/>
      <c r="E83" s="699"/>
      <c r="F83" s="64"/>
      <c r="G83" s="354">
        <v>1</v>
      </c>
      <c r="H83" s="201" t="s">
        <v>536</v>
      </c>
      <c r="I83" s="228">
        <f>G81</f>
        <v>0</v>
      </c>
      <c r="J83" s="356" t="s">
        <v>620</v>
      </c>
      <c r="K83" s="217">
        <f ca="1">_CTR_per_1</f>
        <v>0</v>
      </c>
      <c r="L83" s="188" t="s">
        <v>1190</v>
      </c>
      <c r="M83" s="1307" t="e">
        <f ca="1">(G83*I83/K83)</f>
        <v>#DIV/0!</v>
      </c>
      <c r="N83" s="188" t="s">
        <v>632</v>
      </c>
      <c r="O83" s="683"/>
      <c r="P83" s="188"/>
      <c r="Q83" s="618"/>
      <c r="R83" s="199"/>
      <c r="S83" s="406"/>
      <c r="T83" s="188"/>
      <c r="U83" s="599" t="s">
        <v>1249</v>
      </c>
    </row>
    <row r="84" spans="1:22">
      <c r="A84" s="188"/>
      <c r="B84" s="64"/>
      <c r="C84" s="64"/>
      <c r="D84" s="64"/>
      <c r="E84" s="64"/>
      <c r="F84" s="64"/>
      <c r="G84" s="364" t="s">
        <v>544</v>
      </c>
      <c r="H84" s="363"/>
      <c r="I84" s="363" t="s">
        <v>1250</v>
      </c>
      <c r="J84" s="363"/>
      <c r="K84" s="577" t="s">
        <v>545</v>
      </c>
      <c r="L84" s="577"/>
      <c r="M84" s="685" t="s">
        <v>1250</v>
      </c>
      <c r="N84" s="683"/>
      <c r="O84" s="683"/>
      <c r="P84" s="188"/>
      <c r="Q84" s="618"/>
      <c r="R84" s="199"/>
      <c r="S84" s="406"/>
      <c r="T84" s="188"/>
      <c r="U84" s="599"/>
    </row>
    <row r="85" spans="1:22" ht="23.25" customHeight="1">
      <c r="A85" s="188"/>
      <c r="B85" s="64"/>
      <c r="C85" s="64"/>
      <c r="D85" s="64"/>
      <c r="E85" s="699" t="s">
        <v>1251</v>
      </c>
      <c r="F85" s="694" t="s">
        <v>365</v>
      </c>
      <c r="G85" s="700">
        <v>40</v>
      </c>
      <c r="H85" s="350"/>
      <c r="I85" s="1177" t="s">
        <v>1242</v>
      </c>
      <c r="J85" s="363"/>
      <c r="K85" s="1970" t="s">
        <v>1252</v>
      </c>
      <c r="L85" s="1970"/>
      <c r="M85" s="1970"/>
      <c r="N85" s="1970"/>
      <c r="O85" s="1970"/>
      <c r="P85" s="1970"/>
      <c r="Q85" s="1970"/>
      <c r="R85" s="1970"/>
      <c r="S85" s="1970"/>
      <c r="T85" s="1970"/>
      <c r="U85" s="1970"/>
      <c r="V85" s="1970"/>
    </row>
    <row r="86" spans="1:22">
      <c r="A86" s="188"/>
      <c r="B86" s="64"/>
      <c r="C86" s="64"/>
      <c r="D86" s="64"/>
      <c r="E86" s="64"/>
      <c r="F86" s="64"/>
      <c r="G86" s="364"/>
      <c r="H86" s="363"/>
      <c r="I86" s="363"/>
      <c r="J86" s="363"/>
      <c r="K86" s="577"/>
      <c r="L86" s="577"/>
      <c r="M86" s="685"/>
      <c r="N86" s="683"/>
      <c r="O86" s="683"/>
      <c r="P86" s="188"/>
      <c r="Q86" s="618"/>
      <c r="R86" s="199"/>
      <c r="S86" s="406"/>
      <c r="T86" s="188"/>
      <c r="U86" s="599" t="s">
        <v>1253</v>
      </c>
    </row>
    <row r="87" spans="1:22">
      <c r="A87" s="188"/>
      <c r="B87" s="64"/>
      <c r="C87" s="64"/>
      <c r="D87" s="64"/>
      <c r="E87" s="699" t="s">
        <v>1254</v>
      </c>
      <c r="F87" s="694" t="s">
        <v>365</v>
      </c>
      <c r="G87" s="1307" t="e">
        <f ca="1">ROUND((G85/60)/(VLOOKUP(G75,AB176:AE182,2,FALSE)+(VLOOKUP(G75,AB176:AE182,3,FALSE)/(((M83/_51S1P)^VLOOKUP(G75,AB176:AE182,4,FALSE))-1))),2)</f>
        <v>#DIV/0!</v>
      </c>
      <c r="H87" s="363"/>
      <c r="I87" s="363"/>
      <c r="J87" s="363"/>
      <c r="K87" s="685"/>
      <c r="L87" s="577"/>
      <c r="M87" s="685"/>
      <c r="N87" s="683"/>
      <c r="O87" s="683"/>
      <c r="P87" s="188"/>
      <c r="Q87" s="618"/>
      <c r="R87" s="199"/>
      <c r="S87" s="406"/>
      <c r="T87" s="188"/>
      <c r="U87" s="599" t="s">
        <v>1255</v>
      </c>
    </row>
    <row r="88" spans="1:22">
      <c r="A88" s="188"/>
      <c r="B88" s="64"/>
      <c r="C88" s="64"/>
      <c r="D88" s="64"/>
      <c r="E88" s="699"/>
      <c r="F88" s="694"/>
      <c r="G88" s="708"/>
      <c r="H88" s="363"/>
      <c r="I88" s="708"/>
      <c r="J88" s="363"/>
      <c r="K88" s="685"/>
      <c r="L88" s="577"/>
      <c r="M88" s="685"/>
      <c r="N88" s="683"/>
      <c r="O88" s="683"/>
      <c r="P88" s="188"/>
      <c r="Q88" s="618"/>
      <c r="R88" s="199"/>
      <c r="S88" s="406"/>
      <c r="T88" s="188"/>
      <c r="U88" s="599"/>
    </row>
    <row r="89" spans="1:22">
      <c r="A89" s="188"/>
      <c r="B89" s="64"/>
      <c r="C89" s="64"/>
      <c r="D89" s="64"/>
      <c r="E89" s="699" t="s">
        <v>1256</v>
      </c>
      <c r="F89" s="694" t="s">
        <v>365</v>
      </c>
      <c r="G89" s="856" t="e">
        <f ca="1">MAX(G87,G79)</f>
        <v>#DIV/0!</v>
      </c>
      <c r="H89" s="363"/>
      <c r="I89" s="363"/>
      <c r="J89" s="363"/>
      <c r="K89" s="685"/>
      <c r="L89" s="577"/>
      <c r="M89" s="685"/>
      <c r="N89" s="683"/>
      <c r="O89" s="683"/>
      <c r="P89" s="188"/>
      <c r="Q89" s="618"/>
      <c r="R89" s="199"/>
      <c r="S89" s="406"/>
      <c r="T89" s="188"/>
      <c r="U89" s="599" t="s">
        <v>1257</v>
      </c>
    </row>
    <row r="90" spans="1:22">
      <c r="A90" s="188"/>
      <c r="B90" s="64"/>
      <c r="C90" s="64"/>
      <c r="D90" s="64"/>
      <c r="E90" s="103" t="s">
        <v>573</v>
      </c>
      <c r="F90" s="47" t="s">
        <v>378</v>
      </c>
      <c r="G90" s="849"/>
      <c r="H90" s="103"/>
      <c r="I90" s="64"/>
      <c r="J90" s="47"/>
      <c r="K90" s="693"/>
      <c r="M90" s="188"/>
      <c r="N90" s="188"/>
      <c r="O90" s="188"/>
      <c r="P90" s="188"/>
      <c r="Q90" s="618"/>
      <c r="R90" s="199"/>
      <c r="S90" s="406"/>
      <c r="T90" s="188"/>
      <c r="U90" s="599" t="s">
        <v>1258</v>
      </c>
    </row>
    <row r="91" spans="1:22">
      <c r="A91" s="224"/>
      <c r="B91" s="187"/>
      <c r="C91" s="187"/>
      <c r="D91" s="187"/>
      <c r="E91" s="187"/>
      <c r="F91" s="187"/>
      <c r="G91" s="187"/>
      <c r="H91" s="187"/>
      <c r="I91" s="225"/>
      <c r="J91" s="225"/>
      <c r="K91" s="187"/>
      <c r="L91" s="187"/>
      <c r="M91" s="226"/>
      <c r="N91" s="187"/>
      <c r="O91" s="187"/>
      <c r="P91" s="187"/>
      <c r="Q91" s="187"/>
      <c r="R91" s="187"/>
      <c r="S91" s="187"/>
      <c r="T91" s="188"/>
      <c r="U91" s="600"/>
    </row>
    <row r="92" spans="1:22" ht="17.399999999999999">
      <c r="A92" s="680"/>
      <c r="B92" s="197" t="s">
        <v>1259</v>
      </c>
      <c r="C92" s="227"/>
      <c r="D92" s="188"/>
      <c r="E92" s="188"/>
      <c r="F92" s="188"/>
      <c r="G92" s="97"/>
      <c r="H92" s="97"/>
      <c r="I92" s="97"/>
      <c r="J92" s="97"/>
      <c r="K92" s="97"/>
      <c r="L92" s="97"/>
      <c r="M92" s="97"/>
      <c r="N92" s="97"/>
      <c r="O92" s="97"/>
      <c r="P92" s="97"/>
      <c r="Q92" s="97"/>
      <c r="R92" s="97"/>
      <c r="S92" s="97"/>
      <c r="T92" s="690"/>
      <c r="U92" s="691"/>
    </row>
    <row r="93" spans="1:22">
      <c r="A93" s="680" t="s">
        <v>1186</v>
      </c>
      <c r="B93" s="680" t="s">
        <v>1260</v>
      </c>
      <c r="C93" s="197"/>
      <c r="D93" s="188"/>
      <c r="E93" s="188"/>
      <c r="F93" s="188"/>
      <c r="G93" s="188"/>
      <c r="H93" s="188"/>
      <c r="I93" s="188"/>
      <c r="J93" s="188"/>
      <c r="K93" s="188"/>
      <c r="L93" s="188"/>
      <c r="M93" s="188"/>
      <c r="N93" s="188"/>
      <c r="O93" s="188"/>
      <c r="P93" s="188"/>
      <c r="Q93" s="188"/>
      <c r="R93" s="188"/>
      <c r="S93" s="188"/>
      <c r="T93" s="690"/>
      <c r="U93" s="691"/>
    </row>
    <row r="94" spans="1:22">
      <c r="A94" s="188"/>
      <c r="B94" s="680"/>
      <c r="C94" s="197"/>
      <c r="D94" s="188"/>
      <c r="E94" s="188"/>
      <c r="F94" s="188"/>
      <c r="G94" s="188"/>
      <c r="H94" s="188"/>
      <c r="I94" s="188"/>
      <c r="J94" s="188"/>
      <c r="K94" s="188"/>
      <c r="L94" s="188"/>
      <c r="M94" s="188"/>
      <c r="N94" s="188"/>
      <c r="O94" s="188"/>
      <c r="P94" s="188"/>
      <c r="Q94" s="188"/>
      <c r="R94" s="188"/>
      <c r="S94" s="188"/>
      <c r="T94" s="690"/>
      <c r="U94" s="691"/>
    </row>
    <row r="95" spans="1:22" ht="15.6">
      <c r="A95" s="188"/>
      <c r="B95" s="64"/>
      <c r="C95" s="64"/>
      <c r="D95" s="64"/>
      <c r="E95" s="1381" t="s">
        <v>1261</v>
      </c>
      <c r="F95" s="399" t="s">
        <v>365</v>
      </c>
      <c r="G95" s="715">
        <f>G20</f>
        <v>0</v>
      </c>
      <c r="H95" s="400"/>
      <c r="I95" s="397"/>
      <c r="J95" s="397"/>
      <c r="K95" s="397"/>
      <c r="L95" s="397"/>
      <c r="M95" s="397"/>
      <c r="N95" s="397"/>
      <c r="O95" s="397"/>
      <c r="P95" s="397"/>
      <c r="Q95" s="397"/>
      <c r="R95" s="397"/>
      <c r="S95" s="397"/>
      <c r="T95" s="690"/>
      <c r="U95" s="599" t="s">
        <v>1262</v>
      </c>
    </row>
    <row r="96" spans="1:22">
      <c r="A96" s="188"/>
      <c r="B96" s="188"/>
      <c r="C96" s="188"/>
      <c r="D96" s="188"/>
      <c r="E96" s="214"/>
      <c r="F96" s="188"/>
      <c r="G96" s="188"/>
      <c r="H96" s="188"/>
      <c r="I96" s="188"/>
      <c r="J96" s="188"/>
      <c r="K96" s="188"/>
      <c r="L96" s="64"/>
      <c r="M96" s="64"/>
      <c r="N96" s="188"/>
      <c r="O96" s="188"/>
      <c r="P96" s="188"/>
      <c r="Q96" s="188"/>
      <c r="R96" s="188"/>
      <c r="S96" s="188"/>
      <c r="T96" s="690"/>
      <c r="U96" s="691"/>
    </row>
    <row r="97" spans="1:21">
      <c r="A97" s="188"/>
      <c r="B97" s="197"/>
      <c r="C97" s="197"/>
      <c r="D97" s="188"/>
      <c r="E97" s="188"/>
      <c r="F97" s="188"/>
      <c r="G97" s="188"/>
      <c r="H97" s="188"/>
      <c r="I97" s="188"/>
      <c r="J97" s="188"/>
      <c r="K97" s="188"/>
      <c r="L97" s="188"/>
      <c r="M97" s="188"/>
      <c r="N97" s="188"/>
      <c r="O97" s="616" t="e">
        <f ca="1">ROUNDUP(M98,3)</f>
        <v>#DIV/0!</v>
      </c>
      <c r="P97" s="188" t="s">
        <v>632</v>
      </c>
      <c r="Q97" s="689" t="e">
        <f ca="1">IF(O97&lt;=0.5,"Fault current is less than 0.5 Amps secondary, so result will not be considered for the LOP over current trip","")</f>
        <v>#DIV/0!</v>
      </c>
      <c r="R97" s="680"/>
      <c r="S97" s="188"/>
      <c r="T97" s="690"/>
      <c r="U97" s="599" t="s">
        <v>1263</v>
      </c>
    </row>
    <row r="98" spans="1:21">
      <c r="A98" s="188"/>
      <c r="B98" s="1974"/>
      <c r="C98" s="1974"/>
      <c r="D98" s="1974"/>
      <c r="E98" s="199"/>
      <c r="F98" s="188"/>
      <c r="G98" s="354">
        <v>1.25</v>
      </c>
      <c r="H98" s="188" t="s">
        <v>536</v>
      </c>
      <c r="I98" s="396">
        <f>G95</f>
        <v>0</v>
      </c>
      <c r="J98" s="201" t="s">
        <v>620</v>
      </c>
      <c r="K98" s="217">
        <f ca="1">_CTR_per_1</f>
        <v>0</v>
      </c>
      <c r="L98" s="219" t="s">
        <v>365</v>
      </c>
      <c r="M98" s="393" t="e">
        <f ca="1">(G98*I98)/K98</f>
        <v>#DIV/0!</v>
      </c>
      <c r="N98" s="188"/>
      <c r="O98" s="188"/>
      <c r="P98" s="188"/>
      <c r="Q98" s="188"/>
      <c r="R98" s="188"/>
      <c r="S98" s="188"/>
      <c r="T98" s="690"/>
      <c r="U98" s="691"/>
    </row>
    <row r="99" spans="1:21">
      <c r="A99" s="188"/>
      <c r="B99" s="1974"/>
      <c r="C99" s="1974"/>
      <c r="D99" s="1974"/>
      <c r="E99" s="188"/>
      <c r="F99" s="188"/>
      <c r="G99" s="364" t="s">
        <v>544</v>
      </c>
      <c r="H99" s="188"/>
      <c r="I99" s="364" t="s">
        <v>1264</v>
      </c>
      <c r="J99" s="188"/>
      <c r="K99" s="577" t="s">
        <v>545</v>
      </c>
      <c r="L99" s="188"/>
      <c r="M99" s="188"/>
      <c r="N99" s="188"/>
      <c r="O99" s="188"/>
      <c r="P99" s="188"/>
      <c r="Q99" s="188"/>
      <c r="R99" s="188"/>
      <c r="S99" s="188"/>
      <c r="T99" s="690"/>
      <c r="U99" s="599" t="s">
        <v>1265</v>
      </c>
    </row>
    <row r="100" spans="1:21" ht="17.399999999999999">
      <c r="A100" s="680" t="s">
        <v>1197</v>
      </c>
      <c r="B100" s="680" t="s">
        <v>1266</v>
      </c>
      <c r="C100" s="227"/>
      <c r="D100" s="188"/>
      <c r="E100" s="188"/>
      <c r="F100" s="188"/>
      <c r="G100" s="97"/>
      <c r="H100" s="97"/>
      <c r="I100" s="97"/>
      <c r="J100" s="97"/>
      <c r="K100" s="97"/>
      <c r="L100" s="97"/>
      <c r="M100" s="97"/>
      <c r="N100" s="97"/>
      <c r="O100" s="97"/>
      <c r="P100" s="97"/>
      <c r="Q100" s="97"/>
      <c r="R100" s="97"/>
      <c r="S100" s="97"/>
      <c r="T100" s="690"/>
      <c r="U100" s="691"/>
    </row>
    <row r="101" spans="1:21" ht="17.399999999999999">
      <c r="A101" s="680"/>
      <c r="B101" s="680"/>
      <c r="C101" s="227"/>
      <c r="D101" s="680"/>
      <c r="E101" s="680"/>
      <c r="F101" s="680"/>
      <c r="G101" s="683"/>
      <c r="H101" s="683"/>
      <c r="I101" s="683"/>
      <c r="J101" s="683"/>
      <c r="K101" s="683"/>
      <c r="L101" s="683"/>
      <c r="M101" s="683"/>
      <c r="N101" s="683"/>
      <c r="O101" s="683"/>
      <c r="P101" s="683"/>
      <c r="Q101" s="683"/>
      <c r="R101" s="683"/>
      <c r="S101" s="683"/>
      <c r="T101" s="690"/>
      <c r="U101" s="691"/>
    </row>
    <row r="102" spans="1:21" ht="17.399999999999999">
      <c r="A102" s="680"/>
      <c r="B102" s="680"/>
      <c r="C102" s="227"/>
      <c r="D102" s="680"/>
      <c r="E102" s="1381" t="s">
        <v>1267</v>
      </c>
      <c r="F102" s="680" t="s">
        <v>365</v>
      </c>
      <c r="G102" s="715">
        <f>G18</f>
        <v>0</v>
      </c>
      <c r="H102" s="683"/>
      <c r="I102" s="683"/>
      <c r="J102" s="683"/>
      <c r="K102" s="683"/>
      <c r="L102" s="683"/>
      <c r="M102" s="683"/>
      <c r="N102" s="683"/>
      <c r="O102" s="683"/>
      <c r="P102" s="683"/>
      <c r="Q102" s="683"/>
      <c r="R102" s="683"/>
      <c r="S102" s="683"/>
      <c r="T102" s="690"/>
      <c r="U102" s="599" t="s">
        <v>1268</v>
      </c>
    </row>
    <row r="103" spans="1:21" ht="17.399999999999999">
      <c r="A103" s="680"/>
      <c r="B103" s="680"/>
      <c r="C103" s="227"/>
      <c r="D103" s="680"/>
      <c r="E103" s="680"/>
      <c r="F103" s="680"/>
      <c r="G103" s="683"/>
      <c r="H103" s="683"/>
      <c r="I103" s="683"/>
      <c r="J103" s="683"/>
      <c r="K103" s="683"/>
      <c r="L103" s="683"/>
      <c r="M103" s="683"/>
      <c r="N103" s="683"/>
      <c r="O103" s="683"/>
      <c r="P103" s="683"/>
      <c r="Q103" s="683"/>
      <c r="R103" s="683"/>
      <c r="S103" s="683"/>
      <c r="T103" s="690"/>
      <c r="U103" s="691"/>
    </row>
    <row r="104" spans="1:21" ht="17.399999999999999">
      <c r="A104" s="680"/>
      <c r="B104" s="680"/>
      <c r="C104" s="227"/>
      <c r="D104" s="680"/>
      <c r="E104" s="680"/>
      <c r="F104" s="680"/>
      <c r="G104" s="354">
        <v>0.8</v>
      </c>
      <c r="H104" s="201" t="s">
        <v>536</v>
      </c>
      <c r="I104" s="228">
        <f>G102</f>
        <v>0</v>
      </c>
      <c r="J104" s="356" t="s">
        <v>620</v>
      </c>
      <c r="K104" s="217">
        <f ca="1">_CTR_per_1</f>
        <v>0</v>
      </c>
      <c r="L104" s="188" t="s">
        <v>1190</v>
      </c>
      <c r="M104" s="1307" t="e">
        <f ca="1">(G104*I104/K104)</f>
        <v>#DIV/0!</v>
      </c>
      <c r="N104" s="683"/>
      <c r="O104" s="683"/>
      <c r="P104" s="683"/>
      <c r="Q104" s="692"/>
      <c r="R104" s="683"/>
      <c r="S104" s="692"/>
      <c r="T104" s="690"/>
      <c r="U104" s="599" t="s">
        <v>1269</v>
      </c>
    </row>
    <row r="105" spans="1:21" ht="16.5" customHeight="1">
      <c r="A105" s="680"/>
      <c r="B105" s="680"/>
      <c r="C105" s="227"/>
      <c r="D105" s="680"/>
      <c r="E105" s="680"/>
      <c r="F105" s="680"/>
      <c r="G105" s="364" t="s">
        <v>544</v>
      </c>
      <c r="H105" s="363"/>
      <c r="I105" s="363" t="s">
        <v>1204</v>
      </c>
      <c r="J105" s="363"/>
      <c r="K105" s="577" t="s">
        <v>545</v>
      </c>
      <c r="L105" s="577"/>
      <c r="M105" s="685" t="s">
        <v>1205</v>
      </c>
      <c r="N105" s="683"/>
      <c r="O105" s="683"/>
      <c r="P105" s="683"/>
      <c r="Q105" s="692"/>
      <c r="R105" s="683"/>
      <c r="S105" s="692"/>
      <c r="T105" s="690"/>
      <c r="U105" s="691"/>
    </row>
    <row r="106" spans="1:21" ht="17.399999999999999">
      <c r="A106" s="680"/>
      <c r="B106" s="680"/>
      <c r="C106" s="227"/>
      <c r="D106" s="680"/>
      <c r="E106" s="680"/>
      <c r="F106" s="680"/>
      <c r="G106" s="364"/>
      <c r="H106" s="363"/>
      <c r="I106" s="363"/>
      <c r="J106" s="363"/>
      <c r="K106" s="577"/>
      <c r="L106" s="577"/>
      <c r="M106" s="685"/>
      <c r="N106" s="683"/>
      <c r="O106" s="686" t="e">
        <f ca="1">ROUNDUP(MAX(M104,M107),3)</f>
        <v>#DIV/0!</v>
      </c>
      <c r="P106" s="683" t="s">
        <v>632</v>
      </c>
      <c r="Q106" s="687" t="e">
        <f ca="1">IF(O106&lt;=0.5,"Fault current is less than 0.5 Amps secondary, so result will not be considered for the LOP over current trip","")</f>
        <v>#DIV/0!</v>
      </c>
      <c r="R106" s="683"/>
      <c r="S106" s="683"/>
      <c r="T106" s="690"/>
      <c r="U106" s="599" t="s">
        <v>1270</v>
      </c>
    </row>
    <row r="107" spans="1:21">
      <c r="A107" s="188"/>
      <c r="B107" s="64"/>
      <c r="C107" s="64"/>
      <c r="D107" s="365"/>
      <c r="E107" s="199"/>
      <c r="F107" s="199"/>
      <c r="G107" s="354">
        <v>0.25</v>
      </c>
      <c r="H107" s="201" t="s">
        <v>536</v>
      </c>
      <c r="I107" s="228">
        <f ca="1">$E$6</f>
        <v>0</v>
      </c>
      <c r="J107" s="356" t="s">
        <v>620</v>
      </c>
      <c r="K107" s="217">
        <f ca="1">_CTR_per_1</f>
        <v>0</v>
      </c>
      <c r="L107" s="188" t="s">
        <v>1190</v>
      </c>
      <c r="M107" s="1307" t="e">
        <f ca="1">(G107*I107/K107)</f>
        <v>#DIV/0!</v>
      </c>
      <c r="N107" s="363"/>
      <c r="O107" s="577"/>
      <c r="P107" s="577"/>
      <c r="Q107" s="687"/>
      <c r="R107" s="188"/>
      <c r="S107" s="188"/>
      <c r="T107" s="690"/>
      <c r="U107" s="599" t="s">
        <v>1271</v>
      </c>
    </row>
    <row r="108" spans="1:21">
      <c r="A108" s="188"/>
      <c r="B108" s="64"/>
      <c r="C108" s="64"/>
      <c r="D108" s="188"/>
      <c r="E108" s="723"/>
      <c r="F108" s="578"/>
      <c r="G108" s="364" t="s">
        <v>544</v>
      </c>
      <c r="H108" s="363"/>
      <c r="I108" s="363" t="s">
        <v>549</v>
      </c>
      <c r="J108" s="363"/>
      <c r="K108" s="577" t="s">
        <v>545</v>
      </c>
      <c r="L108" s="577"/>
      <c r="M108" s="363" t="s">
        <v>1192</v>
      </c>
      <c r="N108" s="363"/>
      <c r="O108" s="577"/>
      <c r="P108" s="577"/>
      <c r="Q108" s="363"/>
      <c r="R108" s="188"/>
      <c r="S108" s="188"/>
      <c r="T108" s="690"/>
      <c r="U108" s="599"/>
    </row>
    <row r="109" spans="1:21">
      <c r="A109" s="680" t="s">
        <v>1206</v>
      </c>
      <c r="B109" s="1177" t="s">
        <v>1272</v>
      </c>
      <c r="C109" s="1397"/>
      <c r="D109" s="1397"/>
      <c r="E109" s="188"/>
      <c r="F109" s="188"/>
      <c r="G109" s="364"/>
      <c r="H109" s="188"/>
      <c r="I109" s="364"/>
      <c r="J109" s="188"/>
      <c r="K109" s="577"/>
      <c r="L109" s="188"/>
      <c r="M109" s="188"/>
      <c r="N109" s="188"/>
      <c r="O109" s="188"/>
      <c r="P109" s="188"/>
      <c r="Q109" s="188"/>
      <c r="R109" s="188"/>
      <c r="S109" s="188"/>
      <c r="T109" s="690"/>
      <c r="U109" s="691"/>
    </row>
    <row r="110" spans="1:21">
      <c r="A110" s="680"/>
      <c r="B110" s="1177"/>
      <c r="C110" s="1397"/>
      <c r="D110" s="1397"/>
      <c r="E110" s="188"/>
      <c r="F110" s="188"/>
      <c r="G110" s="364"/>
      <c r="H110" s="188"/>
      <c r="I110" s="364"/>
      <c r="J110" s="188"/>
      <c r="K110" s="577"/>
      <c r="L110" s="188"/>
      <c r="M110" s="188"/>
      <c r="N110" s="188"/>
      <c r="O110" s="188"/>
      <c r="P110" s="188"/>
      <c r="Q110" s="188"/>
      <c r="R110" s="188"/>
      <c r="S110" s="188"/>
      <c r="T110" s="690"/>
      <c r="U110" s="691"/>
    </row>
    <row r="111" spans="1:21">
      <c r="A111" s="680"/>
      <c r="B111" s="1177"/>
      <c r="C111" s="1397"/>
      <c r="D111" s="1397"/>
      <c r="E111" s="188"/>
      <c r="F111" s="188"/>
      <c r="G111" s="354">
        <v>0.25</v>
      </c>
      <c r="H111" s="201" t="s">
        <v>536</v>
      </c>
      <c r="I111" s="228">
        <f ca="1">$E$6</f>
        <v>0</v>
      </c>
      <c r="J111" s="356" t="s">
        <v>620</v>
      </c>
      <c r="K111" s="217">
        <f ca="1">_CTR_per_1</f>
        <v>0</v>
      </c>
      <c r="L111" s="188" t="s">
        <v>1190</v>
      </c>
      <c r="M111" s="1307" t="e">
        <f ca="1">(G111*I111/K111)</f>
        <v>#DIV/0!</v>
      </c>
      <c r="N111" s="188"/>
      <c r="O111" s="188"/>
      <c r="P111" s="188"/>
      <c r="Q111" s="188"/>
      <c r="R111" s="188"/>
      <c r="S111" s="188"/>
      <c r="T111" s="690"/>
      <c r="U111" s="599" t="s">
        <v>1273</v>
      </c>
    </row>
    <row r="112" spans="1:21">
      <c r="A112" s="680"/>
      <c r="B112" s="1177"/>
      <c r="C112" s="1397"/>
      <c r="D112" s="1397"/>
      <c r="E112" s="188"/>
      <c r="F112" s="188"/>
      <c r="G112" s="364" t="s">
        <v>544</v>
      </c>
      <c r="H112" s="363"/>
      <c r="I112" s="363" t="s">
        <v>549</v>
      </c>
      <c r="J112" s="363"/>
      <c r="K112" s="577" t="s">
        <v>545</v>
      </c>
      <c r="L112" s="577"/>
      <c r="M112" s="363" t="s">
        <v>1274</v>
      </c>
      <c r="N112" s="188"/>
      <c r="O112" s="188"/>
      <c r="P112" s="188"/>
      <c r="Q112" s="188"/>
      <c r="R112" s="188"/>
      <c r="S112" s="188"/>
      <c r="T112" s="690"/>
      <c r="U112" s="599"/>
    </row>
    <row r="113" spans="1:21">
      <c r="A113" s="188"/>
      <c r="B113" s="1397"/>
      <c r="C113" s="1397"/>
      <c r="D113" s="1397"/>
      <c r="E113" s="188"/>
      <c r="F113" s="188"/>
      <c r="G113" s="364"/>
      <c r="H113" s="188"/>
      <c r="I113" s="364"/>
      <c r="J113" s="188"/>
      <c r="K113" s="577"/>
      <c r="L113" s="188"/>
      <c r="M113" s="188"/>
      <c r="N113" s="188"/>
      <c r="O113" s="188"/>
      <c r="P113" s="188"/>
      <c r="Q113" s="188"/>
      <c r="R113" s="188"/>
      <c r="S113" s="188"/>
      <c r="T113" s="690"/>
      <c r="U113" s="691"/>
    </row>
    <row r="114" spans="1:21" ht="17.399999999999999">
      <c r="A114" s="188"/>
      <c r="B114" s="680"/>
      <c r="C114" s="227"/>
      <c r="D114" s="680"/>
      <c r="E114" s="1381" t="s">
        <v>1275</v>
      </c>
      <c r="F114" s="680" t="s">
        <v>365</v>
      </c>
      <c r="G114" s="1023">
        <f>G22</f>
        <v>0</v>
      </c>
      <c r="H114" s="683"/>
      <c r="I114" s="683"/>
      <c r="J114" s="683"/>
      <c r="K114" s="683"/>
      <c r="L114" s="683"/>
      <c r="M114" s="683"/>
      <c r="N114" s="683"/>
      <c r="O114" s="686" t="e">
        <f ca="1">ROUNDUP(MAX(M111,M116),3)</f>
        <v>#DIV/0!</v>
      </c>
      <c r="P114" s="680" t="s">
        <v>632</v>
      </c>
      <c r="Q114" s="688" t="e">
        <f ca="1">IF(O114&lt;=0.5,"Fault current is lees than 0.5 Amps secondary, so result will not be considered for the LOP over current trip","")</f>
        <v>#DIV/0!</v>
      </c>
      <c r="R114" s="188"/>
      <c r="S114" s="188"/>
      <c r="T114" s="690"/>
      <c r="U114" s="599" t="s">
        <v>1276</v>
      </c>
    </row>
    <row r="115" spans="1:21" ht="17.399999999999999">
      <c r="A115" s="188"/>
      <c r="B115" s="680"/>
      <c r="C115" s="227"/>
      <c r="D115" s="680"/>
      <c r="E115" s="680"/>
      <c r="F115" s="680"/>
      <c r="G115" s="683"/>
      <c r="H115" s="683"/>
      <c r="I115" s="683"/>
      <c r="J115" s="683"/>
      <c r="K115" s="683"/>
      <c r="L115" s="683"/>
      <c r="M115" s="683"/>
      <c r="N115" s="683"/>
      <c r="O115" s="683"/>
      <c r="P115" s="188"/>
      <c r="Q115" s="188"/>
      <c r="R115" s="188"/>
      <c r="S115" s="188"/>
      <c r="T115" s="690"/>
      <c r="U115" s="599" t="s">
        <v>1277</v>
      </c>
    </row>
    <row r="116" spans="1:21" ht="17.399999999999999">
      <c r="A116" s="188"/>
      <c r="B116" s="680"/>
      <c r="C116" s="227"/>
      <c r="D116" s="680"/>
      <c r="E116" s="680"/>
      <c r="F116" s="680"/>
      <c r="G116" s="354">
        <v>0.8</v>
      </c>
      <c r="H116" s="201" t="s">
        <v>536</v>
      </c>
      <c r="I116" s="228">
        <f>G114</f>
        <v>0</v>
      </c>
      <c r="J116" s="356" t="s">
        <v>620</v>
      </c>
      <c r="K116" s="217">
        <f ca="1">_CTR_per_1</f>
        <v>0</v>
      </c>
      <c r="L116" s="188" t="s">
        <v>1190</v>
      </c>
      <c r="M116" s="1307" t="e">
        <f ca="1">(G116*I116/K116)</f>
        <v>#DIV/0!</v>
      </c>
      <c r="N116" s="683"/>
      <c r="O116" s="683"/>
      <c r="P116" s="188"/>
      <c r="Q116" s="188"/>
      <c r="R116" s="188"/>
      <c r="S116" s="188"/>
      <c r="T116" s="690"/>
      <c r="U116" s="599" t="s">
        <v>1278</v>
      </c>
    </row>
    <row r="117" spans="1:21" ht="17.399999999999999">
      <c r="A117" s="188"/>
      <c r="B117" s="680"/>
      <c r="C117" s="227"/>
      <c r="D117" s="680"/>
      <c r="E117" s="680"/>
      <c r="F117" s="680"/>
      <c r="G117" s="364" t="s">
        <v>544</v>
      </c>
      <c r="H117" s="363"/>
      <c r="I117" s="363" t="s">
        <v>1204</v>
      </c>
      <c r="J117" s="363"/>
      <c r="K117" s="577" t="s">
        <v>545</v>
      </c>
      <c r="L117" s="577"/>
      <c r="M117" s="685" t="s">
        <v>1205</v>
      </c>
      <c r="N117" s="683"/>
      <c r="O117" s="683"/>
      <c r="P117" s="188"/>
      <c r="Q117" s="188"/>
      <c r="R117" s="188"/>
      <c r="S117" s="188"/>
      <c r="T117" s="690"/>
      <c r="U117" s="691"/>
    </row>
    <row r="118" spans="1:21">
      <c r="A118" s="188"/>
      <c r="B118" s="188"/>
      <c r="C118" s="723"/>
      <c r="D118" s="578"/>
      <c r="E118" s="363"/>
      <c r="F118" s="363"/>
      <c r="G118" s="1190"/>
      <c r="H118" s="1190"/>
      <c r="I118" s="363"/>
      <c r="J118" s="363"/>
      <c r="K118" s="577"/>
      <c r="L118" s="578"/>
      <c r="M118" s="577"/>
      <c r="N118" s="363"/>
      <c r="O118" s="577"/>
      <c r="P118" s="577"/>
      <c r="Q118" s="363"/>
      <c r="R118" s="188"/>
      <c r="S118" s="220" t="s">
        <v>26</v>
      </c>
      <c r="T118" s="690"/>
      <c r="U118" s="599" t="s">
        <v>1279</v>
      </c>
    </row>
    <row r="119" spans="1:21">
      <c r="A119" s="188"/>
      <c r="B119" s="229"/>
      <c r="C119" s="188"/>
      <c r="D119" s="188"/>
      <c r="E119" s="64"/>
      <c r="F119" s="64"/>
      <c r="G119" s="1036" t="s">
        <v>1280</v>
      </c>
      <c r="H119" s="64"/>
      <c r="I119" s="688">
        <v>3</v>
      </c>
      <c r="J119" s="688" t="s">
        <v>349</v>
      </c>
      <c r="K119" s="616" t="e">
        <f ca="1">ROUNDUP(IF(O114&gt;O97,O114,MIN(O97,O106)),3)</f>
        <v>#DIV/0!</v>
      </c>
      <c r="L119" s="188" t="s">
        <v>632</v>
      </c>
      <c r="M119" s="188"/>
      <c r="N119" s="680"/>
      <c r="O119" s="188"/>
      <c r="P119" s="188"/>
      <c r="Q119" s="348" t="s">
        <v>1281</v>
      </c>
      <c r="R119" s="199" t="s">
        <v>378</v>
      </c>
      <c r="S119" s="367" t="e">
        <f ca="1">IF(K120=0,IF(K119*3&gt;16,16,K119*3),K120)</f>
        <v>#DIV/0!</v>
      </c>
      <c r="T119" s="690"/>
      <c r="U119" s="599" t="s">
        <v>1282</v>
      </c>
    </row>
    <row r="120" spans="1:21">
      <c r="A120" s="188"/>
      <c r="B120" s="188"/>
      <c r="C120" s="188"/>
      <c r="D120" s="188"/>
      <c r="E120" s="64"/>
      <c r="F120" s="64"/>
      <c r="G120" s="64"/>
      <c r="H120" s="64"/>
      <c r="I120" s="103" t="s">
        <v>573</v>
      </c>
      <c r="J120" s="47" t="s">
        <v>378</v>
      </c>
      <c r="K120" s="146"/>
      <c r="L120" s="188"/>
      <c r="M120" s="188"/>
      <c r="N120" s="188"/>
      <c r="O120" s="188"/>
      <c r="P120" s="188"/>
      <c r="Q120" s="348" t="s">
        <v>1283</v>
      </c>
      <c r="R120" s="199" t="s">
        <v>378</v>
      </c>
      <c r="S120" s="367" t="e">
        <f ca="1">IF(K120=0,IF(K119*3&gt;16,16,K119*3),IF(K120&gt;16,16,K120))</f>
        <v>#DIV/0!</v>
      </c>
      <c r="T120" s="690"/>
      <c r="U120" s="599" t="s">
        <v>1284</v>
      </c>
    </row>
    <row r="121" spans="1:21">
      <c r="A121" s="224"/>
      <c r="B121" s="187"/>
      <c r="C121" s="187"/>
      <c r="D121" s="187"/>
      <c r="E121" s="187"/>
      <c r="F121" s="187"/>
      <c r="G121" s="187"/>
      <c r="H121" s="187"/>
      <c r="I121" s="225"/>
      <c r="J121" s="225"/>
      <c r="K121" s="187"/>
      <c r="L121" s="187"/>
      <c r="M121" s="226"/>
      <c r="N121" s="187"/>
      <c r="O121" s="187"/>
      <c r="P121" s="187"/>
      <c r="Q121" s="187"/>
      <c r="R121" s="187"/>
      <c r="S121" s="187"/>
      <c r="T121" s="188"/>
      <c r="U121" s="600"/>
    </row>
    <row r="122" spans="1:21">
      <c r="A122" s="701"/>
      <c r="B122" s="704" t="s">
        <v>1285</v>
      </c>
      <c r="C122" s="690"/>
      <c r="D122" s="690"/>
      <c r="E122" s="690"/>
      <c r="F122" s="690"/>
      <c r="G122" s="690"/>
      <c r="H122" s="690"/>
      <c r="I122" s="702"/>
      <c r="J122" s="702"/>
      <c r="K122" s="690"/>
      <c r="L122" s="690"/>
      <c r="M122" s="703"/>
      <c r="N122" s="690"/>
      <c r="O122" s="690"/>
      <c r="P122" s="690"/>
      <c r="Q122" s="690"/>
      <c r="R122" s="690"/>
      <c r="S122" s="690"/>
      <c r="T122" s="690"/>
      <c r="U122" s="691"/>
    </row>
    <row r="123" spans="1:21">
      <c r="A123" s="701"/>
      <c r="B123" s="690"/>
      <c r="C123" s="690"/>
      <c r="D123" s="690"/>
      <c r="E123" s="690"/>
      <c r="F123" s="690"/>
      <c r="G123" s="690"/>
      <c r="H123" s="690"/>
      <c r="I123" s="702"/>
      <c r="J123" s="702"/>
      <c r="K123" s="690"/>
      <c r="L123" s="690"/>
      <c r="M123" s="703"/>
      <c r="N123" s="690"/>
      <c r="O123" s="690"/>
      <c r="P123" s="690"/>
      <c r="Q123" s="690"/>
      <c r="R123" s="690"/>
      <c r="S123" s="220" t="s">
        <v>26</v>
      </c>
      <c r="T123" s="690"/>
      <c r="U123" s="599" t="s">
        <v>1286</v>
      </c>
    </row>
    <row r="124" spans="1:21">
      <c r="A124" s="701"/>
      <c r="B124" s="690"/>
      <c r="C124" s="690"/>
      <c r="D124" s="690"/>
      <c r="E124" s="706" t="s">
        <v>1287</v>
      </c>
      <c r="F124" s="705" t="s">
        <v>365</v>
      </c>
      <c r="G124" s="1314">
        <v>40</v>
      </c>
      <c r="H124" s="690"/>
      <c r="I124" s="702"/>
      <c r="J124" s="702"/>
      <c r="K124" s="690"/>
      <c r="L124" s="690"/>
      <c r="M124" s="703"/>
      <c r="N124" s="690"/>
      <c r="O124" s="690"/>
      <c r="P124" s="690"/>
      <c r="Q124" s="348" t="s">
        <v>1288</v>
      </c>
      <c r="R124" s="707" t="s">
        <v>378</v>
      </c>
      <c r="S124" s="367">
        <f>G124</f>
        <v>40</v>
      </c>
      <c r="T124" s="690"/>
      <c r="U124" s="599" t="s">
        <v>1289</v>
      </c>
    </row>
    <row r="125" spans="1:21">
      <c r="A125" s="701"/>
      <c r="B125" s="690"/>
      <c r="C125" s="690"/>
      <c r="D125" s="690"/>
      <c r="E125" s="690"/>
      <c r="F125" s="690"/>
      <c r="G125" s="690"/>
      <c r="H125" s="690"/>
      <c r="I125" s="702"/>
      <c r="J125" s="702"/>
      <c r="K125" s="690"/>
      <c r="L125" s="690"/>
      <c r="M125" s="703"/>
      <c r="N125" s="690"/>
      <c r="O125" s="690"/>
      <c r="P125" s="690"/>
      <c r="Q125" s="348" t="s">
        <v>1290</v>
      </c>
      <c r="R125" s="707" t="s">
        <v>378</v>
      </c>
      <c r="S125" s="367">
        <f>G124</f>
        <v>40</v>
      </c>
      <c r="T125" s="690"/>
      <c r="U125" s="599" t="s">
        <v>1291</v>
      </c>
    </row>
    <row r="126" spans="1:21">
      <c r="A126" s="701"/>
      <c r="B126" s="704" t="s">
        <v>945</v>
      </c>
      <c r="C126" s="690"/>
      <c r="D126" s="690"/>
      <c r="E126" s="690"/>
      <c r="F126" s="690"/>
      <c r="G126" s="690"/>
      <c r="H126" s="690"/>
      <c r="I126" s="702"/>
      <c r="J126" s="702"/>
      <c r="K126" s="690"/>
      <c r="L126" s="690"/>
      <c r="M126" s="703"/>
      <c r="N126" s="690"/>
      <c r="O126" s="690"/>
      <c r="P126" s="690"/>
      <c r="Q126" s="690"/>
      <c r="R126" s="690"/>
      <c r="S126" s="690"/>
      <c r="T126" s="690"/>
      <c r="U126" s="691"/>
    </row>
    <row r="127" spans="1:21">
      <c r="A127" s="701"/>
      <c r="B127" s="704" t="s">
        <v>1292</v>
      </c>
      <c r="C127" s="690"/>
      <c r="D127" s="690"/>
      <c r="E127" s="690"/>
      <c r="F127" s="690"/>
      <c r="G127" s="690"/>
      <c r="H127" s="690"/>
      <c r="I127" s="702"/>
      <c r="J127" s="702"/>
      <c r="K127" s="690"/>
      <c r="L127" s="690"/>
      <c r="M127" s="703"/>
      <c r="N127" s="690"/>
      <c r="O127" s="690"/>
      <c r="P127" s="690"/>
      <c r="Q127" s="690"/>
      <c r="R127" s="690"/>
      <c r="S127" s="690"/>
      <c r="T127" s="690"/>
      <c r="U127" s="691"/>
    </row>
    <row r="128" spans="1:21" ht="25.5" customHeight="1">
      <c r="A128" s="701"/>
      <c r="B128" s="1516" t="s">
        <v>1293</v>
      </c>
      <c r="C128" s="1516"/>
      <c r="D128" s="1516"/>
      <c r="E128" s="1516"/>
      <c r="F128" s="1516"/>
      <c r="G128" s="1516"/>
      <c r="H128" s="1516"/>
      <c r="I128" s="1516"/>
      <c r="J128" s="1516"/>
      <c r="K128" s="1516"/>
      <c r="L128" s="1516"/>
      <c r="M128" s="1516"/>
      <c r="N128" s="1516"/>
      <c r="O128" s="1516"/>
      <c r="P128" s="1516"/>
      <c r="Q128" s="1516"/>
      <c r="R128" s="1516"/>
      <c r="S128" s="1516"/>
      <c r="T128" s="1516"/>
      <c r="U128" s="691"/>
    </row>
    <row r="129" spans="1:21">
      <c r="A129" s="701"/>
      <c r="B129" s="705" t="s">
        <v>1294</v>
      </c>
      <c r="C129" s="690"/>
      <c r="D129" s="690"/>
      <c r="E129" s="690"/>
      <c r="F129" s="690"/>
      <c r="G129" s="690"/>
      <c r="H129" s="690"/>
      <c r="I129" s="702"/>
      <c r="J129" s="702"/>
      <c r="K129" s="690"/>
      <c r="L129" s="690"/>
      <c r="M129" s="703"/>
      <c r="N129" s="690"/>
      <c r="O129" s="690"/>
      <c r="P129" s="690"/>
      <c r="Q129" s="690"/>
      <c r="R129" s="690"/>
      <c r="S129" s="690"/>
      <c r="T129" s="690"/>
      <c r="U129" s="691"/>
    </row>
    <row r="130" spans="1:21">
      <c r="A130" s="701"/>
      <c r="B130" s="704" t="s">
        <v>1295</v>
      </c>
      <c r="C130" s="690"/>
      <c r="D130" s="690"/>
      <c r="E130" s="690"/>
      <c r="F130" s="690"/>
      <c r="G130" s="690"/>
      <c r="H130" s="690"/>
      <c r="I130" s="702"/>
      <c r="J130" s="702"/>
      <c r="K130" s="690"/>
      <c r="L130" s="690"/>
      <c r="M130" s="703"/>
      <c r="N130" s="690"/>
      <c r="O130" s="690"/>
      <c r="P130" s="690"/>
      <c r="Q130" s="690"/>
      <c r="R130" s="690"/>
      <c r="S130" s="690"/>
      <c r="T130" s="690"/>
      <c r="U130" s="691"/>
    </row>
    <row r="131" spans="1:21" ht="27" customHeight="1">
      <c r="A131" s="701"/>
      <c r="B131" s="1973" t="s">
        <v>1296</v>
      </c>
      <c r="C131" s="1973"/>
      <c r="D131" s="1973"/>
      <c r="E131" s="1973"/>
      <c r="F131" s="1973"/>
      <c r="G131" s="1973"/>
      <c r="H131" s="1973"/>
      <c r="I131" s="1973"/>
      <c r="J131" s="1973"/>
      <c r="K131" s="1973"/>
      <c r="L131" s="1973"/>
      <c r="M131" s="1973"/>
      <c r="N131" s="1973"/>
      <c r="O131" s="1973"/>
      <c r="P131" s="1973"/>
      <c r="Q131" s="1973"/>
      <c r="R131" s="1973"/>
      <c r="S131" s="1973"/>
      <c r="T131" s="1973"/>
      <c r="U131" s="691"/>
    </row>
    <row r="132" spans="1:21">
      <c r="A132" s="701"/>
      <c r="B132" s="690"/>
      <c r="C132" s="690"/>
      <c r="D132" s="690"/>
      <c r="E132" s="690"/>
      <c r="F132" s="690"/>
      <c r="G132" s="690"/>
      <c r="H132" s="690"/>
      <c r="I132" s="702"/>
      <c r="J132" s="702"/>
      <c r="K132" s="690"/>
      <c r="L132" s="690"/>
      <c r="M132" s="703"/>
      <c r="N132" s="690"/>
      <c r="O132" s="690"/>
      <c r="P132" s="690"/>
      <c r="Q132" s="690"/>
      <c r="R132" s="690"/>
      <c r="S132" s="690"/>
      <c r="T132" s="690"/>
      <c r="U132" s="691"/>
    </row>
    <row r="133" spans="1:21">
      <c r="A133" s="701"/>
      <c r="B133" s="704" t="s">
        <v>1297</v>
      </c>
      <c r="C133" s="690"/>
      <c r="D133" s="690"/>
      <c r="E133" s="690"/>
      <c r="F133" s="690"/>
      <c r="G133" s="690"/>
      <c r="H133" s="690"/>
      <c r="I133" s="702"/>
      <c r="J133" s="702"/>
      <c r="K133" s="690"/>
      <c r="L133" s="690"/>
      <c r="M133" s="703"/>
      <c r="N133" s="690"/>
      <c r="O133" s="690"/>
      <c r="P133" s="690"/>
      <c r="Q133" s="690"/>
      <c r="R133" s="690"/>
      <c r="S133" s="690"/>
      <c r="T133" s="690"/>
      <c r="U133" s="691"/>
    </row>
    <row r="134" spans="1:21">
      <c r="A134" s="701"/>
      <c r="B134" s="690"/>
      <c r="C134" s="690"/>
      <c r="D134" s="690"/>
      <c r="E134" s="690"/>
      <c r="F134" s="690"/>
      <c r="G134" s="690"/>
      <c r="H134" s="690"/>
      <c r="I134" s="702"/>
      <c r="J134" s="702"/>
      <c r="K134" s="690"/>
      <c r="L134" s="690"/>
      <c r="M134" s="703"/>
      <c r="N134" s="690"/>
      <c r="O134" s="690"/>
      <c r="P134" s="690"/>
      <c r="Q134" s="690"/>
      <c r="R134" s="690"/>
      <c r="S134" s="220" t="s">
        <v>26</v>
      </c>
      <c r="T134" s="690"/>
      <c r="U134" s="599" t="s">
        <v>1298</v>
      </c>
    </row>
    <row r="135" spans="1:21">
      <c r="A135" s="701"/>
      <c r="B135" s="690"/>
      <c r="C135" s="690"/>
      <c r="D135" s="690"/>
      <c r="E135" s="706" t="s">
        <v>1299</v>
      </c>
      <c r="F135" s="705" t="s">
        <v>365</v>
      </c>
      <c r="G135" s="1314">
        <v>3</v>
      </c>
      <c r="H135" s="690"/>
      <c r="I135" s="702"/>
      <c r="J135" s="702"/>
      <c r="K135" s="690"/>
      <c r="L135" s="690"/>
      <c r="M135" s="703"/>
      <c r="N135" s="690"/>
      <c r="O135" s="690"/>
      <c r="P135" s="690"/>
      <c r="Q135" s="348" t="s">
        <v>1300</v>
      </c>
      <c r="R135" s="707" t="s">
        <v>378</v>
      </c>
      <c r="S135" s="367">
        <f>G135</f>
        <v>3</v>
      </c>
      <c r="T135" s="690"/>
      <c r="U135" s="599" t="s">
        <v>1301</v>
      </c>
    </row>
    <row r="136" spans="1:21">
      <c r="A136" s="701"/>
      <c r="B136" s="690"/>
      <c r="C136" s="690"/>
      <c r="D136" s="690"/>
      <c r="E136" s="235" t="s">
        <v>1302</v>
      </c>
      <c r="F136" s="690"/>
      <c r="G136" s="690"/>
      <c r="H136" s="690"/>
      <c r="I136" s="702"/>
      <c r="J136" s="702"/>
      <c r="K136" s="690"/>
      <c r="L136" s="690"/>
      <c r="M136" s="703"/>
      <c r="N136" s="690"/>
      <c r="O136" s="690"/>
      <c r="P136" s="690"/>
      <c r="Q136" s="690"/>
      <c r="R136" s="690"/>
      <c r="S136" s="690"/>
      <c r="T136" s="690"/>
      <c r="U136" s="691"/>
    </row>
    <row r="137" spans="1:21">
      <c r="A137" s="701"/>
      <c r="B137" s="704" t="s">
        <v>945</v>
      </c>
      <c r="C137" s="690"/>
      <c r="D137" s="690"/>
      <c r="E137" s="690"/>
      <c r="F137" s="690"/>
      <c r="G137" s="690"/>
      <c r="H137" s="690"/>
      <c r="I137" s="702"/>
      <c r="J137" s="702"/>
      <c r="K137" s="690"/>
      <c r="L137" s="690"/>
      <c r="M137" s="703"/>
      <c r="N137" s="690"/>
      <c r="O137" s="690"/>
      <c r="P137" s="690"/>
      <c r="Q137" s="690"/>
      <c r="R137" s="690"/>
      <c r="S137" s="690"/>
      <c r="T137" s="690"/>
      <c r="U137" s="691"/>
    </row>
    <row r="138" spans="1:21" ht="25.5" customHeight="1">
      <c r="A138" s="701"/>
      <c r="B138" s="1973" t="s">
        <v>1303</v>
      </c>
      <c r="C138" s="1973"/>
      <c r="D138" s="1973"/>
      <c r="E138" s="1973"/>
      <c r="F138" s="1973"/>
      <c r="G138" s="1973"/>
      <c r="H138" s="1973"/>
      <c r="I138" s="1973"/>
      <c r="J138" s="1973"/>
      <c r="K138" s="1973"/>
      <c r="L138" s="1973"/>
      <c r="M138" s="1973"/>
      <c r="N138" s="1973"/>
      <c r="O138" s="1973"/>
      <c r="P138" s="1973"/>
      <c r="Q138" s="1973"/>
      <c r="R138" s="1973"/>
      <c r="S138" s="1973"/>
      <c r="T138" s="1973"/>
      <c r="U138" s="691"/>
    </row>
    <row r="139" spans="1:21" ht="29.25" customHeight="1">
      <c r="A139" s="701"/>
      <c r="B139" s="1973" t="s">
        <v>1304</v>
      </c>
      <c r="C139" s="1973"/>
      <c r="D139" s="1973"/>
      <c r="E139" s="1973"/>
      <c r="F139" s="1973"/>
      <c r="G139" s="1973"/>
      <c r="H139" s="1973"/>
      <c r="I139" s="1973"/>
      <c r="J139" s="1973"/>
      <c r="K139" s="1973"/>
      <c r="L139" s="1973"/>
      <c r="M139" s="1973"/>
      <c r="N139" s="1973"/>
      <c r="O139" s="1973"/>
      <c r="P139" s="1973"/>
      <c r="Q139" s="1973"/>
      <c r="R139" s="1973"/>
      <c r="S139" s="1973"/>
      <c r="T139" s="1973"/>
      <c r="U139" s="691"/>
    </row>
    <row r="140" spans="1:21">
      <c r="A140" s="701"/>
      <c r="B140" s="690"/>
      <c r="C140" s="690"/>
      <c r="D140" s="690"/>
      <c r="E140" s="690"/>
      <c r="F140" s="690"/>
      <c r="G140" s="690"/>
      <c r="H140" s="690"/>
      <c r="I140" s="702"/>
      <c r="J140" s="702"/>
      <c r="K140" s="690"/>
      <c r="L140" s="690"/>
      <c r="M140" s="703"/>
      <c r="N140" s="690"/>
      <c r="O140" s="690"/>
      <c r="P140" s="690"/>
      <c r="Q140" s="690"/>
      <c r="R140" s="690"/>
      <c r="S140" s="690"/>
      <c r="T140" s="690"/>
      <c r="U140" s="691"/>
    </row>
    <row r="141" spans="1:21">
      <c r="A141" s="701"/>
      <c r="B141" s="690"/>
      <c r="C141" s="690"/>
      <c r="D141" s="690"/>
      <c r="E141" s="690"/>
      <c r="F141" s="690"/>
      <c r="G141" s="690"/>
      <c r="H141" s="690"/>
      <c r="I141" s="702"/>
      <c r="J141" s="702"/>
      <c r="K141" s="690"/>
      <c r="L141" s="690"/>
      <c r="M141" s="703"/>
      <c r="N141" s="690"/>
      <c r="O141" s="690"/>
      <c r="P141" s="690"/>
      <c r="Q141" s="690"/>
      <c r="R141" s="690"/>
      <c r="S141" s="690"/>
      <c r="T141" s="690"/>
      <c r="U141" s="691"/>
    </row>
    <row r="142" spans="1:21">
      <c r="A142" s="224"/>
      <c r="B142" s="224"/>
      <c r="C142" s="224"/>
      <c r="D142" s="224"/>
      <c r="E142" s="224"/>
      <c r="F142" s="224"/>
      <c r="G142" s="224"/>
      <c r="H142" s="224"/>
      <c r="I142" s="224"/>
      <c r="J142" s="224"/>
      <c r="K142" s="224"/>
      <c r="L142" s="224"/>
      <c r="M142" s="224"/>
      <c r="N142" s="224"/>
      <c r="O142" s="224"/>
      <c r="P142" s="224"/>
      <c r="Q142" s="224"/>
      <c r="R142" s="224"/>
      <c r="S142" s="224"/>
      <c r="T142" s="224"/>
      <c r="U142" s="691"/>
    </row>
    <row r="143" spans="1:21">
      <c r="U143" s="602"/>
    </row>
    <row r="144" spans="1:21">
      <c r="U144" s="600"/>
    </row>
    <row r="145" spans="21:21">
      <c r="U145" s="600"/>
    </row>
    <row r="146" spans="21:21">
      <c r="U146" s="600"/>
    </row>
    <row r="147" spans="21:21">
      <c r="U147" s="603"/>
    </row>
    <row r="148" spans="21:21">
      <c r="U148" s="600"/>
    </row>
    <row r="149" spans="21:21">
      <c r="U149" s="600"/>
    </row>
    <row r="150" spans="21:21">
      <c r="U150" s="600"/>
    </row>
    <row r="151" spans="21:21">
      <c r="U151" s="600"/>
    </row>
    <row r="152" spans="21:21">
      <c r="U152" s="600"/>
    </row>
    <row r="153" spans="21:21">
      <c r="U153" s="600"/>
    </row>
    <row r="154" spans="21:21">
      <c r="U154" s="600"/>
    </row>
    <row r="155" spans="21:21">
      <c r="U155" s="600"/>
    </row>
    <row r="156" spans="21:21">
      <c r="U156" s="600"/>
    </row>
    <row r="157" spans="21:21">
      <c r="U157" s="600"/>
    </row>
    <row r="158" spans="21:21">
      <c r="U158" s="600"/>
    </row>
    <row r="159" spans="21:21">
      <c r="U159" s="600"/>
    </row>
    <row r="160" spans="21:21">
      <c r="U160" s="600"/>
    </row>
    <row r="161" spans="1:31">
      <c r="U161" s="600"/>
    </row>
    <row r="162" spans="1:31">
      <c r="U162" s="600"/>
    </row>
    <row r="163" spans="1:31">
      <c r="U163" s="600"/>
    </row>
    <row r="164" spans="1:31">
      <c r="U164" s="600"/>
    </row>
    <row r="165" spans="1:31">
      <c r="A165" s="188"/>
      <c r="B165" s="188"/>
      <c r="C165" s="235"/>
      <c r="D165" s="188"/>
      <c r="E165" s="188"/>
      <c r="F165" s="188"/>
      <c r="G165" s="188"/>
      <c r="H165" s="188"/>
      <c r="I165" s="236"/>
      <c r="J165" s="47"/>
      <c r="K165" s="390"/>
      <c r="L165" s="188"/>
      <c r="M165" s="188"/>
      <c r="N165" s="188"/>
      <c r="O165" s="237"/>
      <c r="P165" s="188"/>
      <c r="Q165" s="348"/>
      <c r="R165" s="188"/>
      <c r="S165" s="188"/>
      <c r="T165" s="188"/>
      <c r="U165" s="600"/>
    </row>
    <row r="176" spans="1:31">
      <c r="AB176" s="65" t="s">
        <v>1305</v>
      </c>
      <c r="AC176" s="65"/>
      <c r="AD176" s="65"/>
      <c r="AE176" s="65"/>
    </row>
    <row r="177" spans="28:31">
      <c r="AB177" s="698" t="s">
        <v>1306</v>
      </c>
      <c r="AC177" s="698" t="s">
        <v>1307</v>
      </c>
      <c r="AD177" s="698" t="s">
        <v>1308</v>
      </c>
      <c r="AE177" s="698" t="s">
        <v>1309</v>
      </c>
    </row>
    <row r="178" spans="28:31">
      <c r="AB178" s="695" t="s">
        <v>1310</v>
      </c>
      <c r="AC178" s="696">
        <v>2.2599999999999999E-2</v>
      </c>
      <c r="AD178" s="696">
        <v>1.04E-2</v>
      </c>
      <c r="AE178" s="696">
        <v>0.02</v>
      </c>
    </row>
    <row r="179" spans="28:31">
      <c r="AB179" s="695" t="s">
        <v>1239</v>
      </c>
      <c r="AC179" s="696">
        <v>0.18</v>
      </c>
      <c r="AD179" s="696">
        <v>5.95</v>
      </c>
      <c r="AE179" s="696">
        <v>2</v>
      </c>
    </row>
    <row r="180" spans="28:31">
      <c r="AB180" s="697" t="s">
        <v>1311</v>
      </c>
      <c r="AC180" s="86">
        <v>9.6299999999999997E-2</v>
      </c>
      <c r="AD180" s="86">
        <v>3.88</v>
      </c>
      <c r="AE180" s="86">
        <v>2</v>
      </c>
    </row>
    <row r="181" spans="28:31">
      <c r="AB181" s="697" t="s">
        <v>1312</v>
      </c>
      <c r="AC181" s="86">
        <v>2.4340000000000001E-2</v>
      </c>
      <c r="AD181" s="86">
        <v>5.64</v>
      </c>
      <c r="AE181" s="86">
        <v>2</v>
      </c>
    </row>
    <row r="182" spans="28:31">
      <c r="AB182" s="697" t="s">
        <v>1313</v>
      </c>
      <c r="AC182" s="86">
        <v>2.6199999999999999E-3</v>
      </c>
      <c r="AD182" s="86">
        <v>3.4199999999999999E-3</v>
      </c>
      <c r="AE182" s="86">
        <v>0.02</v>
      </c>
    </row>
  </sheetData>
  <sheetProtection algorithmName="SHA-512" hashValue="0SL+8M+KzVQfVCYt3FCGXZL8r54zXhk+tYRzbq+vKhuaYAlmOklIk54CA9eOzBcktqzNIsC/VL8kbVu9uqt5Ig==" saltValue="A9I8hVFp22AvuoBZz//tgQ==" spinCount="100000" sheet="1" objects="1" scenarios="1"/>
  <mergeCells count="18">
    <mergeCell ref="B131:T131"/>
    <mergeCell ref="B139:T139"/>
    <mergeCell ref="B138:T138"/>
    <mergeCell ref="B37:D38"/>
    <mergeCell ref="B61:S62"/>
    <mergeCell ref="K67:Q67"/>
    <mergeCell ref="B98:D99"/>
    <mergeCell ref="B128:T128"/>
    <mergeCell ref="E37:E38"/>
    <mergeCell ref="K6:S13"/>
    <mergeCell ref="K16:V16"/>
    <mergeCell ref="K21:V21"/>
    <mergeCell ref="I79:V79"/>
    <mergeCell ref="K85:V85"/>
    <mergeCell ref="K14:V14"/>
    <mergeCell ref="B27:S28"/>
    <mergeCell ref="B19:E19"/>
    <mergeCell ref="B20:E20"/>
  </mergeCells>
  <conditionalFormatting sqref="K67:Q67">
    <cfRule type="expression" dxfId="16" priority="1" stopIfTrue="1">
      <formula>$S$68&lt;0.5</formula>
    </cfRule>
  </conditionalFormatting>
  <dataValidations count="5">
    <dataValidation type="list" allowBlank="1" showInputMessage="1" showErrorMessage="1" sqref="G75" xr:uid="{00000000-0002-0000-0800-000000000000}">
      <formula1>$AB$178:$AB$182</formula1>
    </dataValidation>
    <dataValidation type="decimal" allowBlank="1" showInputMessage="1" showErrorMessage="1" sqref="S69" xr:uid="{B17D6CD4-0678-433E-9AA9-CA4A772F5AC2}">
      <formula1>0.25</formula1>
      <formula2>16</formula2>
    </dataValidation>
    <dataValidation type="decimal" allowBlank="1" showErrorMessage="1" errorTitle="Invalid Current  Pickup!" error="The time-overcurrent elements range for SEL-421 and SEL-411L is from 0.5 A, sec to 16 A, sec. " sqref="K69" xr:uid="{96ED1465-420F-43C9-AD36-98619B3FF328}">
      <formula1>0.5</formula1>
      <formula2>16</formula2>
    </dataValidation>
    <dataValidation type="decimal" allowBlank="1" showErrorMessage="1" errorTitle="Invalid current pickup!" error="The time-overcurrent elements range for SEL-421 and SEL-411L is from 0.5 A, sec to 16 A, sec." sqref="K120" xr:uid="{987FEB2E-3601-455F-BDE6-95550A45958B}">
      <formula1>0.5</formula1>
      <formula2>16</formula2>
    </dataValidation>
    <dataValidation type="decimal" allowBlank="1" showInputMessage="1" showErrorMessage="1" errorTitle="Invalid Current pickup" error="The instantaneous-overcurrent range for SEL-421, SEL-411L, and SEL-3XX range has minimum 0.25 A, sec and maximum to 100 A, sec. " sqref="K58" xr:uid="{F72B3699-92F1-40CC-806C-764343356B74}">
      <formula1>0.25</formula1>
      <formula2>100</formula2>
    </dataValidation>
  </dataValidations>
  <pageMargins left="0.7" right="0.7" top="0.75" bottom="0.75" header="0.3" footer="0.3"/>
  <pageSetup paperSize="17" scale="80" orientation="landscape" r:id="rId1"/>
  <headerFooter>
    <oddFooter>&amp;R&amp;F 
Tab: &amp;A</oddFooter>
  </headerFooter>
  <rowBreaks count="2" manualBreakCount="2">
    <brk id="59" max="21" man="1"/>
    <brk id="91" max="21"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dimension ref="A1:AC123"/>
  <sheetViews>
    <sheetView showGridLines="0" topLeftCell="A19" zoomScaleNormal="100" zoomScaleSheetLayoutView="100" workbookViewId="0">
      <selection activeCell="I58" sqref="I58"/>
    </sheetView>
  </sheetViews>
  <sheetFormatPr defaultRowHeight="13.2"/>
  <cols>
    <col min="1" max="1" width="2.5546875" customWidth="1"/>
    <col min="2" max="2" width="23.88671875" customWidth="1"/>
    <col min="3" max="3" width="6.44140625" customWidth="1"/>
    <col min="4" max="4" width="1.6640625" customWidth="1"/>
    <col min="5" max="5" width="33.5546875" customWidth="1"/>
    <col min="6" max="6" width="4.44140625" customWidth="1"/>
    <col min="7" max="7" width="12" customWidth="1"/>
    <col min="8" max="8" width="2.109375" customWidth="1"/>
    <col min="9" max="9" width="12.109375" customWidth="1"/>
    <col min="10" max="10" width="2.6640625" customWidth="1"/>
    <col min="11" max="11" width="12.109375" customWidth="1"/>
    <col min="12" max="12" width="2.5546875" customWidth="1"/>
    <col min="13" max="13" width="9.6640625" customWidth="1"/>
    <col min="14" max="14" width="3.109375" customWidth="1"/>
    <col min="15" max="15" width="10.44140625" customWidth="1"/>
    <col min="16" max="16" width="6" customWidth="1"/>
    <col min="17" max="17" width="16.5546875" customWidth="1"/>
    <col min="18" max="18" width="2.6640625" customWidth="1"/>
    <col min="19" max="19" width="9.33203125" customWidth="1"/>
    <col min="20" max="20" width="2" customWidth="1"/>
    <col min="21" max="21" width="9" customWidth="1"/>
    <col min="22" max="22" width="14.6640625" customWidth="1"/>
  </cols>
  <sheetData>
    <row r="1" spans="2:22" ht="17.399999999999999">
      <c r="B1" s="189"/>
      <c r="C1" s="188"/>
      <c r="D1" s="188"/>
      <c r="E1" s="188"/>
      <c r="F1" s="188"/>
      <c r="G1" s="188"/>
      <c r="H1" s="188"/>
      <c r="I1" s="188"/>
      <c r="J1" s="188"/>
      <c r="K1" s="188"/>
      <c r="L1" s="188"/>
      <c r="M1" s="188"/>
      <c r="N1" s="188"/>
      <c r="O1" s="188"/>
      <c r="P1" s="188"/>
      <c r="Q1" s="188"/>
      <c r="R1" s="188"/>
      <c r="S1" s="188"/>
      <c r="T1" s="188"/>
      <c r="U1" s="600" t="s">
        <v>360</v>
      </c>
      <c r="V1" s="617" t="s">
        <v>361</v>
      </c>
    </row>
    <row r="2" spans="2:22" ht="17.399999999999999">
      <c r="B2" s="189"/>
      <c r="C2" s="188"/>
      <c r="D2" s="188"/>
      <c r="E2" s="188"/>
      <c r="F2" s="188"/>
      <c r="G2" s="188"/>
      <c r="H2" s="188"/>
      <c r="I2" s="188"/>
      <c r="J2" s="188"/>
      <c r="K2" s="188"/>
      <c r="L2" s="188"/>
      <c r="M2" s="188"/>
      <c r="N2" s="188"/>
      <c r="O2" s="188"/>
      <c r="P2" s="188"/>
      <c r="Q2" s="188"/>
      <c r="R2" s="188"/>
      <c r="S2" s="188"/>
      <c r="T2" s="188"/>
      <c r="U2" s="600"/>
      <c r="V2" s="617"/>
    </row>
    <row r="3" spans="2:22" ht="15.6">
      <c r="B3" s="190" t="s">
        <v>1314</v>
      </c>
      <c r="C3" s="190"/>
      <c r="D3" s="190"/>
      <c r="E3" s="190"/>
      <c r="F3" s="190"/>
      <c r="G3" s="188"/>
      <c r="H3" s="188"/>
      <c r="I3" s="191">
        <f>Relay_Location</f>
        <v>0</v>
      </c>
      <c r="J3" s="191"/>
      <c r="K3" s="192"/>
      <c r="L3" s="192"/>
      <c r="M3" s="190" t="s">
        <v>363</v>
      </c>
      <c r="N3" s="190"/>
      <c r="O3" s="191">
        <f>Remote_Location</f>
        <v>0</v>
      </c>
      <c r="P3" s="192"/>
      <c r="Q3" s="192"/>
      <c r="R3" s="192"/>
      <c r="S3" s="188"/>
      <c r="T3" s="188"/>
      <c r="U3" s="600"/>
      <c r="V3" s="617"/>
    </row>
    <row r="4" spans="2:22" ht="15.6">
      <c r="B4" s="188"/>
      <c r="C4" s="188"/>
      <c r="D4" s="188"/>
      <c r="E4" s="188"/>
      <c r="F4" s="188"/>
      <c r="G4" s="188"/>
      <c r="H4" s="188"/>
      <c r="I4" s="1176"/>
      <c r="J4" s="1176"/>
      <c r="K4" s="188"/>
      <c r="L4" s="188"/>
      <c r="M4" s="188"/>
      <c r="N4" s="188"/>
      <c r="O4" s="1176"/>
      <c r="P4" s="188"/>
      <c r="Q4" s="188"/>
      <c r="R4" s="188"/>
      <c r="S4" s="188"/>
      <c r="T4" s="188"/>
      <c r="U4" s="600"/>
      <c r="V4" s="617"/>
    </row>
    <row r="5" spans="2:22" ht="15.6">
      <c r="B5" s="188"/>
      <c r="C5" s="188"/>
      <c r="D5" s="188"/>
      <c r="E5" s="188"/>
      <c r="F5" s="1177"/>
      <c r="G5" s="188"/>
      <c r="H5" s="188"/>
      <c r="I5" s="188"/>
      <c r="J5" s="188"/>
      <c r="K5" s="188"/>
      <c r="L5" s="188"/>
      <c r="M5" s="188"/>
      <c r="N5" s="188"/>
      <c r="O5" s="188"/>
      <c r="P5" s="188"/>
      <c r="Q5" s="188"/>
      <c r="R5" s="188"/>
      <c r="S5" s="188"/>
      <c r="T5" s="188"/>
      <c r="U5" s="600"/>
      <c r="V5" s="617"/>
    </row>
    <row r="6" spans="2:22" ht="15.6">
      <c r="B6" s="193" t="s">
        <v>364</v>
      </c>
      <c r="C6" s="194" t="s">
        <v>365</v>
      </c>
      <c r="D6" s="188"/>
      <c r="E6" s="195">
        <f ca="1">Line_Limit</f>
        <v>0</v>
      </c>
      <c r="F6" s="1177" t="s">
        <v>69</v>
      </c>
      <c r="G6" s="1375"/>
      <c r="H6" s="1375"/>
      <c r="I6" s="1176"/>
      <c r="J6" s="1176"/>
      <c r="K6" s="1827" t="s">
        <v>1315</v>
      </c>
      <c r="L6" s="1968"/>
      <c r="M6" s="1968"/>
      <c r="N6" s="1968"/>
      <c r="O6" s="1968"/>
      <c r="P6" s="1968"/>
      <c r="Q6" s="1968"/>
      <c r="R6" s="1968"/>
      <c r="S6" s="1968"/>
      <c r="T6" s="188"/>
      <c r="U6" s="600"/>
      <c r="V6" s="617"/>
    </row>
    <row r="7" spans="2:22" ht="15.6">
      <c r="B7" s="196" t="s">
        <v>367</v>
      </c>
      <c r="C7" s="194" t="s">
        <v>365</v>
      </c>
      <c r="D7" s="188"/>
      <c r="E7" s="709">
        <f ca="1">CTR</f>
        <v>0</v>
      </c>
      <c r="F7" s="1178" t="s">
        <v>368</v>
      </c>
      <c r="G7" s="197">
        <f ca="1">E7/5</f>
        <v>0</v>
      </c>
      <c r="H7" s="198" t="s">
        <v>183</v>
      </c>
      <c r="I7" s="1176"/>
      <c r="J7" s="1176"/>
      <c r="K7" s="1968"/>
      <c r="L7" s="1968"/>
      <c r="M7" s="1968"/>
      <c r="N7" s="1968"/>
      <c r="O7" s="1968"/>
      <c r="P7" s="1968"/>
      <c r="Q7" s="1968"/>
      <c r="R7" s="1968"/>
      <c r="S7" s="1968"/>
      <c r="T7" s="188"/>
      <c r="U7" s="600"/>
      <c r="V7" s="617"/>
    </row>
    <row r="8" spans="2:22" ht="15.6">
      <c r="B8" s="196" t="s">
        <v>369</v>
      </c>
      <c r="C8" s="194" t="s">
        <v>365</v>
      </c>
      <c r="D8" s="188"/>
      <c r="E8" s="709">
        <f ca="1">PTR</f>
        <v>0</v>
      </c>
      <c r="F8" s="1178" t="s">
        <v>183</v>
      </c>
      <c r="G8" s="200"/>
      <c r="H8" s="200"/>
      <c r="I8" s="1176"/>
      <c r="J8" s="1176"/>
      <c r="K8" s="1968"/>
      <c r="L8" s="1968"/>
      <c r="M8" s="1968"/>
      <c r="N8" s="1968"/>
      <c r="O8" s="1968"/>
      <c r="P8" s="1968"/>
      <c r="Q8" s="1968"/>
      <c r="R8" s="1968"/>
      <c r="S8" s="1968"/>
      <c r="T8" s="188"/>
      <c r="U8" s="600"/>
      <c r="V8" s="617"/>
    </row>
    <row r="9" spans="2:22" ht="15.6">
      <c r="B9" s="196" t="s">
        <v>370</v>
      </c>
      <c r="C9" s="194" t="s">
        <v>365</v>
      </c>
      <c r="D9" s="188"/>
      <c r="E9" s="347" t="e">
        <f ca="1">CTR_PTR</f>
        <v>#DIV/0!</v>
      </c>
      <c r="F9" s="1179"/>
      <c r="G9" s="201"/>
      <c r="H9" s="201"/>
      <c r="I9" s="1176"/>
      <c r="J9" s="1176"/>
      <c r="K9" s="1968"/>
      <c r="L9" s="1968"/>
      <c r="M9" s="1968"/>
      <c r="N9" s="1968"/>
      <c r="O9" s="1968"/>
      <c r="P9" s="1968"/>
      <c r="Q9" s="1968"/>
      <c r="R9" s="1968"/>
      <c r="S9" s="1968"/>
      <c r="T9" s="188"/>
      <c r="U9" s="600"/>
      <c r="V9" s="617"/>
    </row>
    <row r="10" spans="2:22" ht="15.6">
      <c r="B10" s="202" t="s">
        <v>372</v>
      </c>
      <c r="C10" s="194" t="s">
        <v>365</v>
      </c>
      <c r="D10" s="188"/>
      <c r="E10" s="710">
        <f ca="1">'6) Zone Imp'!$E$5</f>
        <v>0</v>
      </c>
      <c r="F10" s="1180" t="s">
        <v>373</v>
      </c>
      <c r="G10" s="188"/>
      <c r="H10" s="188"/>
      <c r="I10" s="1176"/>
      <c r="J10" s="1176"/>
      <c r="K10" s="1968"/>
      <c r="L10" s="1968"/>
      <c r="M10" s="1968"/>
      <c r="N10" s="1968"/>
      <c r="O10" s="1968"/>
      <c r="P10" s="1968"/>
      <c r="Q10" s="1968"/>
      <c r="R10" s="1968"/>
      <c r="S10" s="1968"/>
      <c r="T10" s="188"/>
      <c r="U10" s="600"/>
      <c r="V10" s="617"/>
    </row>
    <row r="11" spans="2:22" ht="15.6">
      <c r="B11" s="188"/>
      <c r="I11" s="1375"/>
      <c r="J11" s="1176"/>
      <c r="K11" s="1968"/>
      <c r="L11" s="1968"/>
      <c r="M11" s="1968"/>
      <c r="N11" s="1968"/>
      <c r="O11" s="1968"/>
      <c r="P11" s="1968"/>
      <c r="Q11" s="1968"/>
      <c r="R11" s="1968"/>
      <c r="S11" s="1968"/>
      <c r="T11" s="188"/>
      <c r="U11" s="600"/>
      <c r="V11" s="617"/>
    </row>
    <row r="12" spans="2:22" ht="15.6">
      <c r="B12" s="202"/>
      <c r="C12" s="202"/>
      <c r="D12" s="188"/>
      <c r="E12" s="204"/>
      <c r="F12" s="204"/>
      <c r="G12" s="201"/>
      <c r="H12" s="201"/>
      <c r="I12" s="205"/>
      <c r="J12" s="205"/>
      <c r="K12" s="1968"/>
      <c r="L12" s="1968"/>
      <c r="M12" s="1968"/>
      <c r="N12" s="1968"/>
      <c r="O12" s="1968"/>
      <c r="P12" s="1968"/>
      <c r="Q12" s="1968"/>
      <c r="R12" s="1968"/>
      <c r="S12" s="1968"/>
      <c r="T12" s="188"/>
      <c r="U12" s="600"/>
      <c r="V12" s="617"/>
    </row>
    <row r="13" spans="2:22" ht="15.6">
      <c r="B13" s="190" t="s">
        <v>374</v>
      </c>
      <c r="C13" s="188"/>
      <c r="D13" s="188"/>
      <c r="E13" s="723"/>
      <c r="F13" s="188"/>
      <c r="H13" s="723"/>
      <c r="I13" s="188"/>
      <c r="J13" s="188"/>
      <c r="K13" s="1968"/>
      <c r="L13" s="1968"/>
      <c r="M13" s="1968"/>
      <c r="N13" s="1968"/>
      <c r="O13" s="1968"/>
      <c r="P13" s="1968"/>
      <c r="Q13" s="1968"/>
      <c r="R13" s="1968"/>
      <c r="S13" s="1968"/>
      <c r="T13" s="188"/>
      <c r="U13" s="600"/>
      <c r="V13" s="617"/>
    </row>
    <row r="15" spans="2:22">
      <c r="E15" s="103" t="s">
        <v>1316</v>
      </c>
      <c r="F15" s="680" t="s">
        <v>365</v>
      </c>
      <c r="G15" s="1315">
        <f>'1) Data Entry'!E285</f>
        <v>0</v>
      </c>
      <c r="I15" s="1886" t="s">
        <v>945</v>
      </c>
      <c r="J15" s="1887"/>
      <c r="K15" s="1887"/>
      <c r="L15" s="1887"/>
      <c r="M15" s="1887"/>
      <c r="N15" s="1887"/>
      <c r="O15" s="1887"/>
      <c r="P15" s="1887"/>
      <c r="Q15" s="1888"/>
      <c r="R15" s="1889"/>
      <c r="S15" s="1891"/>
      <c r="U15" s="600" t="s">
        <v>1317</v>
      </c>
    </row>
    <row r="16" spans="2:22">
      <c r="E16" s="103" t="s">
        <v>195</v>
      </c>
      <c r="F16" s="680" t="s">
        <v>365</v>
      </c>
      <c r="G16" s="1315">
        <f>'1) Data Entry'!E286</f>
        <v>0</v>
      </c>
      <c r="I16" s="1894"/>
      <c r="J16" s="1895"/>
      <c r="K16" s="1895"/>
      <c r="L16" s="1895"/>
      <c r="M16" s="1895"/>
      <c r="N16" s="1895"/>
      <c r="O16" s="1895"/>
      <c r="P16" s="1895"/>
      <c r="Q16" s="1896"/>
      <c r="R16" s="1897"/>
      <c r="S16" s="1891"/>
      <c r="U16" s="600" t="s">
        <v>1318</v>
      </c>
    </row>
    <row r="17" spans="1:22" s="64" customFormat="1" ht="15.6">
      <c r="A17" s="224"/>
      <c r="B17" s="187"/>
      <c r="C17" s="187"/>
      <c r="D17" s="187"/>
      <c r="E17" s="187"/>
      <c r="F17" s="187"/>
      <c r="G17" s="187"/>
      <c r="H17" s="187"/>
      <c r="I17" s="225"/>
      <c r="J17" s="225"/>
      <c r="K17" s="187"/>
      <c r="L17" s="187"/>
      <c r="M17" s="226"/>
      <c r="N17" s="187"/>
      <c r="O17" s="187"/>
      <c r="P17" s="187"/>
      <c r="Q17" s="187"/>
      <c r="R17" s="187"/>
      <c r="S17" s="187"/>
      <c r="T17" s="188"/>
      <c r="U17" s="600"/>
      <c r="V17" s="617"/>
    </row>
    <row r="18" spans="1:22" s="213" customFormat="1" ht="17.25" customHeight="1">
      <c r="A18" s="188"/>
      <c r="B18" s="197" t="s">
        <v>1319</v>
      </c>
      <c r="C18" s="197"/>
      <c r="D18" s="188"/>
      <c r="E18" s="188"/>
      <c r="F18" s="188"/>
      <c r="G18" s="188"/>
      <c r="H18" s="188"/>
      <c r="I18" s="188"/>
      <c r="J18" s="188"/>
      <c r="K18" s="188"/>
      <c r="L18" s="188"/>
      <c r="M18" s="188"/>
      <c r="N18" s="188"/>
      <c r="O18" s="188"/>
      <c r="P18" s="188"/>
      <c r="Q18" s="188"/>
      <c r="R18" s="218"/>
      <c r="S18" s="218"/>
      <c r="T18" s="680"/>
      <c r="U18" s="600"/>
      <c r="V18" s="617"/>
    </row>
    <row r="19" spans="1:22" s="213" customFormat="1" ht="25.5" customHeight="1">
      <c r="A19" s="188"/>
      <c r="B19" s="1827" t="s">
        <v>1320</v>
      </c>
      <c r="C19" s="1827"/>
      <c r="D19" s="1827"/>
      <c r="E19" s="1827"/>
      <c r="F19" s="1827"/>
      <c r="G19" s="1827"/>
      <c r="H19" s="1827"/>
      <c r="I19" s="1827"/>
      <c r="J19" s="1827"/>
      <c r="K19" s="1827"/>
      <c r="L19" s="1827"/>
      <c r="M19" s="1827"/>
      <c r="N19" s="1827"/>
      <c r="O19" s="1827"/>
      <c r="P19" s="1827"/>
      <c r="Q19" s="1827"/>
      <c r="R19" s="1827"/>
      <c r="S19" s="1827"/>
      <c r="T19" s="1827"/>
      <c r="U19" s="1827"/>
      <c r="V19" s="617"/>
    </row>
    <row r="20" spans="1:22" s="213" customFormat="1" ht="15.75" customHeight="1">
      <c r="A20" s="188"/>
      <c r="B20" s="197"/>
      <c r="C20" s="197"/>
      <c r="D20" s="188"/>
      <c r="E20" s="188"/>
      <c r="F20" s="188"/>
      <c r="G20" s="188"/>
      <c r="H20" s="188"/>
      <c r="I20" s="188"/>
      <c r="J20" s="188"/>
      <c r="K20" s="188"/>
      <c r="L20" s="188"/>
      <c r="M20" s="188"/>
      <c r="N20" s="188"/>
      <c r="O20" s="188"/>
      <c r="P20" s="188"/>
      <c r="Q20" s="188"/>
      <c r="R20" s="188"/>
      <c r="S20" s="220" t="s">
        <v>26</v>
      </c>
      <c r="T20" s="680"/>
      <c r="U20" s="600" t="s">
        <v>1321</v>
      </c>
      <c r="V20" s="617"/>
    </row>
    <row r="21" spans="1:22" s="213" customFormat="1" ht="15.75" customHeight="1">
      <c r="A21" s="188"/>
      <c r="B21" s="197"/>
      <c r="C21" s="197"/>
      <c r="D21" s="188"/>
      <c r="E21" s="680" t="s">
        <v>1322</v>
      </c>
      <c r="F21" s="680" t="s">
        <v>365</v>
      </c>
      <c r="G21" s="148">
        <v>0</v>
      </c>
      <c r="H21" s="188"/>
      <c r="I21" s="719" t="str">
        <f>IF(G21=0,"Transfer Trip Supervision Enabled","Transfer Trip Supervision Disabled")</f>
        <v>Transfer Trip Supervision Enabled</v>
      </c>
      <c r="J21" s="188"/>
      <c r="K21" s="188"/>
      <c r="L21" s="188"/>
      <c r="M21" s="188"/>
      <c r="N21" s="188"/>
      <c r="O21" s="188"/>
      <c r="P21" s="188"/>
      <c r="Q21" s="348" t="s">
        <v>1323</v>
      </c>
      <c r="R21" s="199" t="s">
        <v>378</v>
      </c>
      <c r="S21" s="720">
        <f>G21</f>
        <v>0</v>
      </c>
      <c r="T21" s="680"/>
      <c r="U21" s="600" t="s">
        <v>1324</v>
      </c>
      <c r="V21" s="617"/>
    </row>
    <row r="22" spans="1:22" s="213" customFormat="1" ht="15.75" customHeight="1">
      <c r="A22" s="188"/>
      <c r="B22" s="197"/>
      <c r="C22" s="197"/>
      <c r="D22" s="188"/>
      <c r="E22" s="694"/>
      <c r="F22" s="680"/>
      <c r="G22" s="680" t="s">
        <v>1325</v>
      </c>
      <c r="H22" s="188"/>
      <c r="I22" s="719"/>
      <c r="J22" s="188"/>
      <c r="K22" s="188"/>
      <c r="L22" s="188"/>
      <c r="M22" s="188"/>
      <c r="N22" s="188"/>
      <c r="O22" s="188"/>
      <c r="P22" s="188"/>
      <c r="Q22" s="348" t="s">
        <v>1326</v>
      </c>
      <c r="R22" s="199" t="s">
        <v>378</v>
      </c>
      <c r="S22" s="720">
        <f>G21</f>
        <v>0</v>
      </c>
      <c r="T22" s="680"/>
      <c r="U22" s="600" t="s">
        <v>1327</v>
      </c>
      <c r="V22" s="617"/>
    </row>
    <row r="23" spans="1:22" s="213" customFormat="1" ht="30" customHeight="1">
      <c r="A23" s="188"/>
      <c r="B23" s="1827" t="s">
        <v>1328</v>
      </c>
      <c r="C23" s="1827"/>
      <c r="D23" s="1827"/>
      <c r="E23" s="1827"/>
      <c r="F23" s="1827"/>
      <c r="G23" s="1827"/>
      <c r="H23" s="1827"/>
      <c r="I23" s="1827"/>
      <c r="J23" s="1827"/>
      <c r="K23" s="1827"/>
      <c r="L23" s="1827"/>
      <c r="M23" s="1827"/>
      <c r="N23" s="1827"/>
      <c r="O23" s="1827"/>
      <c r="P23" s="1827"/>
      <c r="Q23" s="1827"/>
      <c r="R23" s="1827"/>
      <c r="S23" s="1827"/>
      <c r="T23" s="1827"/>
      <c r="U23" s="1827"/>
      <c r="V23" s="617"/>
    </row>
    <row r="24" spans="1:22" s="213" customFormat="1" ht="15.75" customHeight="1">
      <c r="A24" s="188"/>
      <c r="B24" s="197"/>
      <c r="C24" s="197"/>
      <c r="D24" s="188"/>
      <c r="E24" s="680"/>
      <c r="F24" s="680"/>
      <c r="G24" s="719"/>
      <c r="H24" s="188"/>
      <c r="I24" s="719"/>
      <c r="J24" s="188"/>
      <c r="K24" s="188"/>
      <c r="L24" s="188"/>
      <c r="M24" s="188"/>
      <c r="N24" s="188"/>
      <c r="O24" s="188"/>
      <c r="P24" s="188"/>
      <c r="Q24" s="188"/>
      <c r="R24" s="188"/>
      <c r="S24" s="405"/>
      <c r="T24" s="680"/>
      <c r="U24" s="600"/>
      <c r="V24" s="617"/>
    </row>
    <row r="25" spans="1:22" s="213" customFormat="1" ht="12" customHeight="1">
      <c r="A25" s="188"/>
      <c r="B25" s="1926" t="s">
        <v>1329</v>
      </c>
      <c r="C25" s="1926"/>
      <c r="D25" s="1926"/>
      <c r="E25" s="1926"/>
      <c r="F25" s="1926"/>
      <c r="G25" s="1926"/>
      <c r="H25" s="1926"/>
      <c r="I25" s="1926"/>
      <c r="J25" s="1926"/>
      <c r="K25" s="1926"/>
      <c r="L25" s="1926"/>
      <c r="M25" s="1926"/>
      <c r="N25" s="1926"/>
      <c r="O25" s="1926"/>
      <c r="P25" s="1926"/>
      <c r="Q25" s="1926"/>
      <c r="R25" s="1926"/>
      <c r="S25" s="1982"/>
      <c r="T25" s="680"/>
      <c r="U25" s="600"/>
      <c r="V25" s="617"/>
    </row>
    <row r="26" spans="1:22" s="213" customFormat="1" ht="12" customHeight="1">
      <c r="A26" s="188"/>
      <c r="B26" s="1926"/>
      <c r="C26" s="1926"/>
      <c r="D26" s="1926"/>
      <c r="E26" s="1926"/>
      <c r="F26" s="1926"/>
      <c r="G26" s="1926"/>
      <c r="H26" s="1926"/>
      <c r="I26" s="1926"/>
      <c r="J26" s="1926"/>
      <c r="K26" s="1926"/>
      <c r="L26" s="1926"/>
      <c r="M26" s="1926"/>
      <c r="N26" s="1926"/>
      <c r="O26" s="1926"/>
      <c r="P26" s="1926"/>
      <c r="Q26" s="1926"/>
      <c r="R26" s="1926"/>
      <c r="S26" s="1982"/>
      <c r="T26" s="680"/>
      <c r="U26" s="600"/>
      <c r="V26" s="617"/>
    </row>
    <row r="27" spans="1:22" s="213" customFormat="1" ht="12" customHeight="1">
      <c r="A27" s="188"/>
      <c r="B27" s="1926"/>
      <c r="C27" s="1926"/>
      <c r="D27" s="1926"/>
      <c r="E27" s="1926"/>
      <c r="F27" s="1926"/>
      <c r="G27" s="1926"/>
      <c r="H27" s="1926"/>
      <c r="I27" s="1926"/>
      <c r="J27" s="1926"/>
      <c r="K27" s="1926"/>
      <c r="L27" s="1926"/>
      <c r="M27" s="1926"/>
      <c r="N27" s="1926"/>
      <c r="O27" s="1926"/>
      <c r="P27" s="1926"/>
      <c r="Q27" s="1926"/>
      <c r="R27" s="1926"/>
      <c r="S27" s="1982"/>
      <c r="T27" s="680"/>
      <c r="U27" s="600"/>
      <c r="V27" s="617"/>
    </row>
    <row r="28" spans="1:22" s="213" customFormat="1" ht="12" customHeight="1">
      <c r="A28" s="188"/>
      <c r="B28" s="1926"/>
      <c r="C28" s="1926"/>
      <c r="D28" s="1926"/>
      <c r="E28" s="1926"/>
      <c r="F28" s="1926"/>
      <c r="G28" s="1926"/>
      <c r="H28" s="1926"/>
      <c r="I28" s="1926"/>
      <c r="J28" s="1926"/>
      <c r="K28" s="1926"/>
      <c r="L28" s="1926"/>
      <c r="M28" s="1926"/>
      <c r="N28" s="1926"/>
      <c r="O28" s="1926"/>
      <c r="P28" s="1926"/>
      <c r="Q28" s="1926"/>
      <c r="R28" s="1926"/>
      <c r="S28" s="1982"/>
      <c r="T28" s="680"/>
      <c r="U28" s="600"/>
      <c r="V28" s="617"/>
    </row>
    <row r="29" spans="1:22" s="64" customFormat="1" ht="17.25" customHeight="1">
      <c r="A29" s="188"/>
      <c r="B29" s="1926"/>
      <c r="C29" s="1926"/>
      <c r="D29" s="1926"/>
      <c r="E29" s="1926"/>
      <c r="F29" s="1926"/>
      <c r="G29" s="1926"/>
      <c r="H29" s="1926"/>
      <c r="I29" s="1926"/>
      <c r="J29" s="1926"/>
      <c r="K29" s="1926"/>
      <c r="L29" s="1926"/>
      <c r="M29" s="1926"/>
      <c r="N29" s="1926"/>
      <c r="O29" s="1926"/>
      <c r="P29" s="1926"/>
      <c r="Q29" s="1926"/>
      <c r="R29" s="1926"/>
      <c r="S29" s="1982"/>
      <c r="T29" s="188"/>
      <c r="U29" s="600"/>
      <c r="V29" s="617"/>
    </row>
    <row r="30" spans="1:22" s="64" customFormat="1" ht="15.6">
      <c r="A30" s="188"/>
      <c r="B30" s="745"/>
      <c r="C30" s="745"/>
      <c r="D30" s="745"/>
      <c r="E30" s="745"/>
      <c r="F30" s="745"/>
      <c r="G30" s="745"/>
      <c r="H30" s="745"/>
      <c r="I30" s="745"/>
      <c r="J30" s="745"/>
      <c r="K30" s="745"/>
      <c r="L30" s="745"/>
      <c r="M30" s="745"/>
      <c r="N30" s="745"/>
      <c r="O30" s="745"/>
      <c r="P30" s="745"/>
      <c r="Q30" s="745"/>
      <c r="R30" s="745"/>
      <c r="S30" s="745"/>
      <c r="T30" s="188"/>
      <c r="U30" s="600"/>
      <c r="V30" s="617"/>
    </row>
    <row r="31" spans="1:22" s="64" customFormat="1" ht="15.6">
      <c r="A31" s="188"/>
      <c r="B31" s="188"/>
      <c r="C31" s="723"/>
      <c r="D31" s="578"/>
      <c r="E31" s="201"/>
      <c r="F31" s="350"/>
      <c r="G31" s="354">
        <v>0.9</v>
      </c>
      <c r="H31" s="350" t="s">
        <v>536</v>
      </c>
      <c r="I31" s="1316">
        <f ca="1">E10*1000</f>
        <v>0</v>
      </c>
      <c r="J31" s="353" t="s">
        <v>620</v>
      </c>
      <c r="K31" s="404">
        <v>1000</v>
      </c>
      <c r="L31" s="351" t="s">
        <v>539</v>
      </c>
      <c r="M31" s="407">
        <f ca="1">ROUND(G31*I31/K31,1)</f>
        <v>0</v>
      </c>
      <c r="N31" s="350"/>
      <c r="O31" s="188"/>
      <c r="P31" s="188"/>
      <c r="T31" s="188"/>
      <c r="U31" s="600" t="s">
        <v>1330</v>
      </c>
      <c r="V31" s="617"/>
    </row>
    <row r="32" spans="1:22" s="64" customFormat="1" ht="15.6">
      <c r="A32" s="188"/>
      <c r="B32" s="188"/>
      <c r="C32" s="723"/>
      <c r="D32" s="578"/>
      <c r="E32" s="577"/>
      <c r="F32" s="363"/>
      <c r="G32" s="577" t="s">
        <v>544</v>
      </c>
      <c r="H32" s="577"/>
      <c r="I32" s="577" t="s">
        <v>887</v>
      </c>
      <c r="J32" s="577"/>
      <c r="K32" s="577"/>
      <c r="L32" s="578"/>
      <c r="M32" s="363" t="s">
        <v>1331</v>
      </c>
      <c r="N32" s="363"/>
      <c r="O32" s="577"/>
      <c r="P32" s="188"/>
      <c r="S32" s="220" t="s">
        <v>26</v>
      </c>
      <c r="T32" s="188"/>
      <c r="U32" s="600" t="s">
        <v>1332</v>
      </c>
      <c r="V32" s="617"/>
    </row>
    <row r="33" spans="1:22" s="64" customFormat="1" ht="15.6">
      <c r="A33" s="188"/>
      <c r="B33" s="188"/>
      <c r="C33" s="723"/>
      <c r="D33" s="578"/>
      <c r="E33" s="577"/>
      <c r="F33" s="363"/>
      <c r="G33" s="577"/>
      <c r="H33" s="363"/>
      <c r="I33" s="71"/>
      <c r="J33" s="577"/>
      <c r="K33" s="577"/>
      <c r="L33" s="578"/>
      <c r="M33" s="229"/>
      <c r="O33" s="522">
        <f ca="1">M31</f>
        <v>0</v>
      </c>
      <c r="P33" s="680" t="s">
        <v>1333</v>
      </c>
      <c r="Q33" s="348" t="s">
        <v>1334</v>
      </c>
      <c r="R33" s="199" t="s">
        <v>378</v>
      </c>
      <c r="S33" s="367">
        <f ca="1">IF(O34="",O33,O34)</f>
        <v>0</v>
      </c>
      <c r="T33" s="188"/>
      <c r="U33" s="600" t="s">
        <v>1335</v>
      </c>
      <c r="V33" s="617"/>
    </row>
    <row r="34" spans="1:22" s="64" customFormat="1" ht="15.6">
      <c r="A34" s="188"/>
      <c r="B34" s="188"/>
      <c r="C34" s="723"/>
      <c r="D34" s="578"/>
      <c r="E34" s="577"/>
      <c r="F34" s="363"/>
      <c r="G34" s="577"/>
      <c r="H34" s="1190"/>
      <c r="I34" s="577"/>
      <c r="J34" s="577"/>
      <c r="K34" s="577"/>
      <c r="L34" s="578"/>
      <c r="M34" s="103" t="s">
        <v>573</v>
      </c>
      <c r="N34" s="353" t="s">
        <v>378</v>
      </c>
      <c r="O34" s="849"/>
      <c r="P34" s="188"/>
      <c r="Q34" s="1992" t="s">
        <v>1336</v>
      </c>
      <c r="R34" s="188"/>
      <c r="S34" s="223"/>
      <c r="T34" s="188"/>
      <c r="U34" s="600" t="s">
        <v>1337</v>
      </c>
      <c r="V34" s="617"/>
    </row>
    <row r="35" spans="1:22" s="64" customFormat="1" ht="23.25" customHeight="1">
      <c r="A35" s="188"/>
      <c r="B35" s="188"/>
      <c r="C35" s="723"/>
      <c r="D35" s="578"/>
      <c r="E35" s="577"/>
      <c r="F35" s="363"/>
      <c r="G35" s="577"/>
      <c r="H35" s="1190"/>
      <c r="I35" s="577"/>
      <c r="J35" s="577"/>
      <c r="K35" s="577"/>
      <c r="L35" s="578"/>
      <c r="M35" s="577"/>
      <c r="N35" s="577"/>
      <c r="O35" s="418"/>
      <c r="P35" s="188"/>
      <c r="Q35" s="1992"/>
      <c r="R35" s="188"/>
      <c r="S35" s="223"/>
      <c r="T35" s="188"/>
      <c r="U35" s="600"/>
      <c r="V35" s="617"/>
    </row>
    <row r="36" spans="1:22" s="64" customFormat="1" ht="15.6">
      <c r="A36" s="188"/>
      <c r="B36" s="188"/>
      <c r="C36" s="723"/>
      <c r="D36" s="578"/>
      <c r="E36" s="577"/>
      <c r="F36" s="363"/>
      <c r="G36" s="577"/>
      <c r="H36" s="1190"/>
      <c r="I36" s="1317">
        <f ca="1">S33*1000</f>
        <v>0</v>
      </c>
      <c r="J36" s="353" t="s">
        <v>620</v>
      </c>
      <c r="K36" s="404">
        <f ca="1">$E$8</f>
        <v>0</v>
      </c>
      <c r="L36" s="351" t="s">
        <v>539</v>
      </c>
      <c r="M36" s="407" t="e">
        <f ca="1">ROUND(I36/K36,1)</f>
        <v>#DIV/0!</v>
      </c>
      <c r="N36" s="578" t="s">
        <v>940</v>
      </c>
      <c r="O36" s="577"/>
      <c r="P36" s="578"/>
      <c r="S36" s="220" t="s">
        <v>26</v>
      </c>
      <c r="T36" s="188"/>
      <c r="U36" s="600" t="s">
        <v>1338</v>
      </c>
      <c r="V36" s="617"/>
    </row>
    <row r="37" spans="1:22" s="64" customFormat="1" ht="15.6">
      <c r="A37" s="188"/>
      <c r="B37" s="188"/>
      <c r="C37" s="723"/>
      <c r="D37" s="578"/>
      <c r="E37" s="577"/>
      <c r="F37" s="363"/>
      <c r="G37" s="577"/>
      <c r="H37" s="1190"/>
      <c r="I37" s="363" t="s">
        <v>1331</v>
      </c>
      <c r="J37" s="577"/>
      <c r="K37" s="577" t="s">
        <v>1339</v>
      </c>
      <c r="L37" s="578"/>
      <c r="M37" s="363"/>
      <c r="N37" s="363"/>
      <c r="O37" s="577"/>
      <c r="P37" s="578"/>
      <c r="Q37" s="348" t="s">
        <v>1340</v>
      </c>
      <c r="R37" s="199" t="s">
        <v>378</v>
      </c>
      <c r="S37" s="367" t="e">
        <f ca="1">M36</f>
        <v>#DIV/0!</v>
      </c>
      <c r="T37" s="188"/>
      <c r="U37" s="600" t="s">
        <v>1341</v>
      </c>
      <c r="V37" s="617"/>
    </row>
    <row r="38" spans="1:22" s="64" customFormat="1" ht="15.6">
      <c r="A38" s="188"/>
      <c r="B38" s="188"/>
      <c r="C38" s="723"/>
      <c r="D38" s="578"/>
      <c r="E38" s="577"/>
      <c r="F38" s="363"/>
      <c r="G38" s="71"/>
      <c r="H38" s="1190"/>
      <c r="I38" s="363"/>
      <c r="J38" s="577"/>
      <c r="K38" s="577"/>
      <c r="L38" s="578"/>
      <c r="M38" s="363"/>
      <c r="N38" s="363"/>
      <c r="O38" s="577"/>
      <c r="P38" s="578"/>
      <c r="Q38" s="348" t="s">
        <v>574</v>
      </c>
      <c r="R38" s="188"/>
      <c r="S38" s="223"/>
      <c r="T38" s="188"/>
      <c r="U38" s="600"/>
      <c r="V38" s="617"/>
    </row>
    <row r="39" spans="1:22" s="64" customFormat="1" ht="15.6">
      <c r="A39" s="188"/>
      <c r="B39" s="188"/>
      <c r="C39" s="723"/>
      <c r="D39" s="578"/>
      <c r="E39" s="354">
        <v>0.05</v>
      </c>
      <c r="F39" s="350" t="s">
        <v>536</v>
      </c>
      <c r="G39" s="1316">
        <f ca="1">E10*1000</f>
        <v>0</v>
      </c>
      <c r="H39" s="352" t="s">
        <v>884</v>
      </c>
      <c r="I39" s="1318">
        <f>SQRT(3)</f>
        <v>1.7320508075688772</v>
      </c>
      <c r="J39" s="353" t="s">
        <v>359</v>
      </c>
      <c r="K39" s="404">
        <f ca="1">$E$8</f>
        <v>0</v>
      </c>
      <c r="L39" s="351" t="s">
        <v>539</v>
      </c>
      <c r="M39" s="407" t="e">
        <f ca="1">ROUND(E39*G39/(I39*K39),1)&amp;"  "</f>
        <v>#DIV/0!</v>
      </c>
      <c r="N39" s="363"/>
      <c r="O39" s="577"/>
      <c r="P39" s="188"/>
      <c r="T39" s="188"/>
      <c r="U39" s="600" t="s">
        <v>1342</v>
      </c>
      <c r="V39" s="617"/>
    </row>
    <row r="40" spans="1:22" s="64" customFormat="1" ht="15.6">
      <c r="A40" s="188"/>
      <c r="B40" s="188"/>
      <c r="C40" s="723"/>
      <c r="D40" s="578"/>
      <c r="E40" s="364" t="s">
        <v>544</v>
      </c>
      <c r="F40" s="363"/>
      <c r="G40" s="577" t="s">
        <v>887</v>
      </c>
      <c r="H40" s="1190"/>
      <c r="I40" s="577" t="s">
        <v>546</v>
      </c>
      <c r="J40" s="577"/>
      <c r="K40" s="577" t="s">
        <v>1339</v>
      </c>
      <c r="L40" s="578"/>
      <c r="M40" s="363" t="s">
        <v>1343</v>
      </c>
      <c r="N40" s="363"/>
      <c r="O40" s="188"/>
      <c r="P40" s="188"/>
      <c r="S40" s="220" t="s">
        <v>26</v>
      </c>
      <c r="T40" s="188"/>
      <c r="U40" s="600" t="s">
        <v>1344</v>
      </c>
      <c r="V40" s="617"/>
    </row>
    <row r="41" spans="1:22" s="64" customFormat="1" ht="15.6">
      <c r="A41" s="188"/>
      <c r="B41" s="188"/>
      <c r="C41" s="723"/>
      <c r="D41" s="578"/>
      <c r="E41" s="577"/>
      <c r="F41" s="363"/>
      <c r="G41" s="577"/>
      <c r="H41" s="1190"/>
      <c r="I41" s="577"/>
      <c r="J41" s="577"/>
      <c r="K41" s="577"/>
      <c r="L41" s="578"/>
      <c r="M41" s="229"/>
      <c r="O41" s="106" t="e">
        <f ca="1">M39</f>
        <v>#DIV/0!</v>
      </c>
      <c r="P41" s="578" t="s">
        <v>940</v>
      </c>
      <c r="Q41" s="348" t="s">
        <v>1345</v>
      </c>
      <c r="R41" s="199" t="s">
        <v>378</v>
      </c>
      <c r="S41" s="413" t="e">
        <f ca="1">IF(O42="",O41,O42)</f>
        <v>#DIV/0!</v>
      </c>
      <c r="T41" s="188"/>
      <c r="U41" s="600" t="s">
        <v>1346</v>
      </c>
      <c r="V41" s="617"/>
    </row>
    <row r="42" spans="1:22" s="64" customFormat="1" ht="15.6">
      <c r="A42" s="188"/>
      <c r="B42" s="188"/>
      <c r="C42" s="723"/>
      <c r="D42" s="578"/>
      <c r="E42" s="577"/>
      <c r="F42" s="363"/>
      <c r="G42" s="577"/>
      <c r="H42" s="1190"/>
      <c r="I42" s="577"/>
      <c r="J42" s="577"/>
      <c r="K42" s="577"/>
      <c r="L42" s="578"/>
      <c r="M42" s="353" t="s">
        <v>573</v>
      </c>
      <c r="N42" s="353" t="s">
        <v>378</v>
      </c>
      <c r="O42" s="849"/>
      <c r="P42" s="578"/>
      <c r="Q42" s="348" t="s">
        <v>574</v>
      </c>
      <c r="R42" s="188"/>
      <c r="S42" s="223"/>
      <c r="T42" s="188"/>
      <c r="U42" s="603"/>
      <c r="V42" s="617"/>
    </row>
    <row r="43" spans="1:22" s="64" customFormat="1" ht="15.6">
      <c r="A43" s="188"/>
      <c r="B43" s="188"/>
      <c r="C43" s="723"/>
      <c r="D43" s="578"/>
      <c r="E43" s="577"/>
      <c r="F43" s="363"/>
      <c r="G43" s="577"/>
      <c r="H43" s="1190"/>
      <c r="I43" s="577"/>
      <c r="J43" s="577"/>
      <c r="K43" s="577"/>
      <c r="L43" s="578"/>
      <c r="M43" s="353"/>
      <c r="N43" s="353"/>
      <c r="O43" s="418"/>
      <c r="P43" s="578"/>
      <c r="Q43" s="348"/>
      <c r="R43" s="188"/>
      <c r="S43" s="220" t="s">
        <v>26</v>
      </c>
      <c r="T43" s="188"/>
      <c r="U43" s="603"/>
      <c r="V43" s="617"/>
    </row>
    <row r="44" spans="1:22" s="64" customFormat="1" ht="15.6">
      <c r="A44" s="188"/>
      <c r="B44" s="188"/>
      <c r="C44" s="723"/>
      <c r="D44" s="578"/>
      <c r="E44" s="577"/>
      <c r="F44" s="363"/>
      <c r="G44" s="577"/>
      <c r="H44" s="1190"/>
      <c r="I44" s="577"/>
      <c r="J44" s="577"/>
      <c r="K44" s="577"/>
      <c r="L44" s="578"/>
      <c r="M44" s="722"/>
      <c r="N44" s="721"/>
      <c r="O44" s="721"/>
      <c r="P44" s="721"/>
      <c r="Q44" s="348" t="s">
        <v>1347</v>
      </c>
      <c r="R44" s="351" t="s">
        <v>378</v>
      </c>
      <c r="S44" s="413" t="e">
        <f ca="1">IF(O42="",O41*$E$8/1000,O42*$E$8/1000)</f>
        <v>#DIV/0!</v>
      </c>
      <c r="T44" s="188"/>
      <c r="U44" s="600" t="s">
        <v>1348</v>
      </c>
      <c r="V44" s="617"/>
    </row>
    <row r="45" spans="1:22" s="64" customFormat="1" ht="15.6">
      <c r="A45" s="188"/>
      <c r="B45" s="188"/>
      <c r="C45" s="723"/>
      <c r="D45" s="578"/>
      <c r="E45" s="577"/>
      <c r="F45" s="363"/>
      <c r="G45" s="577"/>
      <c r="H45" s="1190"/>
      <c r="I45" s="577"/>
      <c r="J45" s="577"/>
      <c r="K45" s="577"/>
      <c r="L45" s="578"/>
      <c r="M45" s="722"/>
      <c r="N45" s="721"/>
      <c r="O45" s="721"/>
      <c r="P45" s="721"/>
      <c r="Q45" s="348" t="s">
        <v>1336</v>
      </c>
      <c r="R45" s="351"/>
      <c r="S45" s="232"/>
      <c r="T45" s="188"/>
      <c r="U45" s="600"/>
      <c r="V45" s="617"/>
    </row>
    <row r="46" spans="1:22" s="64" customFormat="1" ht="16.2" thickBot="1">
      <c r="A46" s="188"/>
      <c r="B46" s="188"/>
      <c r="C46" s="723"/>
      <c r="D46" s="578"/>
      <c r="E46" s="577"/>
      <c r="F46" s="363"/>
      <c r="G46" s="577"/>
      <c r="H46" s="1190"/>
      <c r="I46" s="577"/>
      <c r="J46" s="577"/>
      <c r="K46" s="577"/>
      <c r="L46" s="578"/>
      <c r="M46" s="577"/>
      <c r="N46" s="363"/>
      <c r="O46" s="577"/>
      <c r="P46" s="188"/>
      <c r="R46" s="199"/>
      <c r="S46" s="406"/>
      <c r="T46" s="188"/>
      <c r="U46" s="603"/>
      <c r="V46" s="617"/>
    </row>
    <row r="47" spans="1:22" s="64" customFormat="1" ht="15.6">
      <c r="A47" s="188"/>
      <c r="B47" s="188"/>
      <c r="C47" s="723"/>
      <c r="D47" s="578"/>
      <c r="E47" s="577"/>
      <c r="F47" s="363"/>
      <c r="G47" s="577"/>
      <c r="H47" s="1190"/>
      <c r="I47" s="577"/>
      <c r="J47" s="577"/>
      <c r="K47" s="577"/>
      <c r="L47" s="578"/>
      <c r="M47" s="722" t="s">
        <v>1349</v>
      </c>
      <c r="N47" s="1983" t="str">
        <f xml:space="preserve"> "PSV02 := 50P4 OR 50G4 OR 50Q4 OR VABFM &lt; PMV06 OR VBCFM &lt; PMV06 OR VCAFM &lt; PMV06 OR 3V0M &gt; PMV05"</f>
        <v>PSV02 := 50P4 OR 50G4 OR 50Q4 OR VABFM &lt; PMV06 OR VBCFM &lt; PMV06 OR VCAFM &lt; PMV06 OR 3V0M &gt; PMV05</v>
      </c>
      <c r="O47" s="1984"/>
      <c r="P47" s="1984"/>
      <c r="Q47" s="1984"/>
      <c r="R47" s="1984"/>
      <c r="S47" s="1985"/>
      <c r="T47" s="188"/>
      <c r="U47" s="600" t="s">
        <v>1350</v>
      </c>
      <c r="V47" s="617"/>
    </row>
    <row r="48" spans="1:22" s="64" customFormat="1" ht="15.6">
      <c r="A48" s="188"/>
      <c r="B48" s="188"/>
      <c r="C48" s="723"/>
      <c r="D48" s="578"/>
      <c r="E48" s="577"/>
      <c r="F48" s="363"/>
      <c r="G48" s="577"/>
      <c r="H48" s="1190"/>
      <c r="N48" s="1986"/>
      <c r="O48" s="1987"/>
      <c r="P48" s="1987"/>
      <c r="Q48" s="1987"/>
      <c r="R48" s="1987"/>
      <c r="S48" s="1988"/>
      <c r="T48" s="188"/>
      <c r="U48" s="603"/>
      <c r="V48" s="617"/>
    </row>
    <row r="49" spans="1:22" s="64" customFormat="1" ht="12.75" customHeight="1" thickBot="1">
      <c r="A49" s="188"/>
      <c r="B49" s="188"/>
      <c r="C49" s="723"/>
      <c r="D49" s="578"/>
      <c r="E49" s="577"/>
      <c r="F49" s="363"/>
      <c r="G49" s="577"/>
      <c r="H49" s="1190"/>
      <c r="N49" s="1989"/>
      <c r="O49" s="1990"/>
      <c r="P49" s="1990"/>
      <c r="Q49" s="1990"/>
      <c r="R49" s="1990"/>
      <c r="S49" s="1991"/>
      <c r="T49" s="1319"/>
      <c r="U49" s="603"/>
      <c r="V49" s="617"/>
    </row>
    <row r="50" spans="1:22" s="64" customFormat="1" ht="15.6">
      <c r="A50" s="188"/>
      <c r="B50" s="680" t="s">
        <v>1351</v>
      </c>
      <c r="C50" s="723"/>
      <c r="D50" s="578"/>
      <c r="E50" s="577"/>
      <c r="F50" s="363"/>
      <c r="G50" s="577"/>
      <c r="H50" s="1190"/>
      <c r="N50" s="1319"/>
      <c r="O50" s="1319"/>
      <c r="P50" s="1319"/>
      <c r="Q50" s="1319"/>
      <c r="R50" s="1319"/>
      <c r="S50" s="1319"/>
      <c r="T50" s="1319"/>
      <c r="U50" s="603"/>
      <c r="V50" s="617"/>
    </row>
    <row r="51" spans="1:22" s="64" customFormat="1" ht="15.6">
      <c r="A51" s="188"/>
      <c r="B51" s="1926" t="s">
        <v>1352</v>
      </c>
      <c r="C51" s="1847"/>
      <c r="D51" s="1847"/>
      <c r="E51" s="1847"/>
      <c r="F51" s="1847"/>
      <c r="G51" s="1847"/>
      <c r="H51" s="1847"/>
      <c r="I51" s="1847"/>
      <c r="J51" s="1847"/>
      <c r="K51" s="1847"/>
      <c r="L51" s="1847"/>
      <c r="M51" s="1847"/>
      <c r="N51" s="1847"/>
      <c r="O51" s="1847"/>
      <c r="P51" s="1847"/>
      <c r="Q51" s="1847"/>
      <c r="R51" s="1847"/>
      <c r="S51" s="1847"/>
      <c r="T51" s="1847"/>
      <c r="U51" s="1847"/>
      <c r="V51" s="617"/>
    </row>
    <row r="52" spans="1:22" s="64" customFormat="1" ht="15.6">
      <c r="A52" s="188"/>
      <c r="B52" s="1847"/>
      <c r="C52" s="1847"/>
      <c r="D52" s="1847"/>
      <c r="E52" s="1847"/>
      <c r="F52" s="1847"/>
      <c r="G52" s="1847"/>
      <c r="H52" s="1847"/>
      <c r="I52" s="1847"/>
      <c r="J52" s="1847"/>
      <c r="K52" s="1847"/>
      <c r="L52" s="1847"/>
      <c r="M52" s="1847"/>
      <c r="N52" s="1847"/>
      <c r="O52" s="1847"/>
      <c r="P52" s="1847"/>
      <c r="Q52" s="1847"/>
      <c r="R52" s="1847"/>
      <c r="S52" s="1847"/>
      <c r="T52" s="1847"/>
      <c r="U52" s="1847"/>
      <c r="V52" s="617"/>
    </row>
    <row r="53" spans="1:22" s="64" customFormat="1" ht="15.6">
      <c r="A53" s="188"/>
      <c r="B53" s="235"/>
      <c r="C53" s="188"/>
      <c r="D53" s="365" t="s">
        <v>1353</v>
      </c>
      <c r="E53" s="199" t="s">
        <v>365</v>
      </c>
      <c r="F53" s="199" t="s">
        <v>535</v>
      </c>
      <c r="G53" s="354">
        <v>1</v>
      </c>
      <c r="H53" s="201" t="s">
        <v>536</v>
      </c>
      <c r="I53" s="228">
        <f ca="1">$E$6</f>
        <v>0</v>
      </c>
      <c r="J53" s="356" t="s">
        <v>620</v>
      </c>
      <c r="K53" s="217">
        <f ca="1">_CTR_per_1</f>
        <v>0</v>
      </c>
      <c r="L53" s="219" t="s">
        <v>539</v>
      </c>
      <c r="M53" s="1320" t="e">
        <f ca="1">(G53*I53/K53)</f>
        <v>#DIV/0!</v>
      </c>
      <c r="N53" s="680"/>
      <c r="O53" s="577"/>
      <c r="P53" s="578"/>
      <c r="T53" s="1319"/>
      <c r="U53" s="603" t="s">
        <v>1354</v>
      </c>
      <c r="V53" s="617"/>
    </row>
    <row r="54" spans="1:22" s="64" customFormat="1" ht="15.6">
      <c r="A54" s="188"/>
      <c r="B54" s="235"/>
      <c r="C54" s="188"/>
      <c r="D54" s="188"/>
      <c r="E54" s="723"/>
      <c r="F54" s="578"/>
      <c r="G54" s="86" t="s">
        <v>544</v>
      </c>
      <c r="H54" s="363"/>
      <c r="I54" s="363" t="s">
        <v>549</v>
      </c>
      <c r="J54" s="363"/>
      <c r="K54" s="577" t="s">
        <v>1355</v>
      </c>
      <c r="L54" s="577"/>
      <c r="M54" s="363" t="s">
        <v>1192</v>
      </c>
      <c r="N54" s="680"/>
      <c r="O54" s="577"/>
      <c r="P54" s="578"/>
      <c r="T54" s="188"/>
      <c r="U54" s="603"/>
      <c r="V54" s="617"/>
    </row>
    <row r="55" spans="1:22" s="64" customFormat="1" ht="15.6">
      <c r="A55" s="188"/>
      <c r="B55" s="235"/>
      <c r="C55" s="188"/>
      <c r="D55" s="188"/>
      <c r="E55" s="723"/>
      <c r="F55" s="578"/>
      <c r="G55" s="364"/>
      <c r="H55" s="363"/>
      <c r="I55" s="363"/>
      <c r="J55" s="363"/>
      <c r="K55" s="577"/>
      <c r="L55" s="577"/>
      <c r="M55" s="363"/>
      <c r="N55" s="680"/>
      <c r="O55" s="577"/>
      <c r="P55" s="578"/>
      <c r="T55" s="188"/>
      <c r="U55" s="603"/>
      <c r="V55" s="617"/>
    </row>
    <row r="56" spans="1:22" s="64" customFormat="1" ht="15.6">
      <c r="A56" s="680"/>
      <c r="B56" s="188"/>
      <c r="C56" s="723"/>
      <c r="D56" s="578"/>
      <c r="G56" s="857">
        <f>G15</f>
        <v>0</v>
      </c>
      <c r="H56" s="219" t="s">
        <v>349</v>
      </c>
      <c r="I56" s="414">
        <f>_Remote_BF_CTR</f>
        <v>0</v>
      </c>
      <c r="J56" s="219" t="s">
        <v>620</v>
      </c>
      <c r="K56" s="217">
        <f ca="1">_CTR_per_1</f>
        <v>0</v>
      </c>
      <c r="L56" s="219" t="s">
        <v>365</v>
      </c>
      <c r="M56" s="1320" t="e">
        <f ca="1">(G56*I56/K56)</f>
        <v>#DIV/0!</v>
      </c>
      <c r="N56" s="363"/>
      <c r="O56" s="577"/>
      <c r="P56" s="578"/>
      <c r="Q56" s="348"/>
      <c r="R56" s="188"/>
      <c r="S56" s="223"/>
      <c r="T56" s="188"/>
      <c r="U56" s="600" t="s">
        <v>1356</v>
      </c>
      <c r="V56" s="617"/>
    </row>
    <row r="57" spans="1:22" s="64" customFormat="1" ht="20.25" customHeight="1">
      <c r="A57" s="188"/>
      <c r="B57" s="188"/>
      <c r="C57" s="723"/>
      <c r="D57" s="578"/>
      <c r="E57" s="1980" t="s">
        <v>1357</v>
      </c>
      <c r="G57" s="1978" t="s">
        <v>1358</v>
      </c>
      <c r="H57" s="188"/>
      <c r="I57" s="363" t="s">
        <v>1359</v>
      </c>
      <c r="J57" s="188"/>
      <c r="K57" s="363" t="s">
        <v>1360</v>
      </c>
      <c r="L57" s="188"/>
      <c r="M57" s="363"/>
      <c r="N57" s="363"/>
      <c r="O57" s="577"/>
      <c r="P57" s="578"/>
      <c r="Q57" s="188"/>
      <c r="R57" s="188"/>
      <c r="S57" s="220" t="s">
        <v>26</v>
      </c>
      <c r="T57" s="188"/>
      <c r="U57" s="600" t="s">
        <v>1361</v>
      </c>
      <c r="V57" s="617"/>
    </row>
    <row r="58" spans="1:22" s="64" customFormat="1" ht="19.5" customHeight="1">
      <c r="A58" s="188"/>
      <c r="B58" s="235"/>
      <c r="C58" s="188"/>
      <c r="D58" s="188"/>
      <c r="E58" s="1980"/>
      <c r="F58" s="1007"/>
      <c r="G58" s="1979"/>
      <c r="H58" s="1007"/>
      <c r="I58" s="1007"/>
      <c r="J58" s="1007"/>
      <c r="K58" s="1007"/>
      <c r="L58" s="1007"/>
      <c r="M58" s="229"/>
      <c r="O58" s="106" t="e">
        <f ca="1">MAX(IF(MIN(M53,M56)=M56,M56*0.8,MIN(M53,M56)),0.5)</f>
        <v>#DIV/0!</v>
      </c>
      <c r="P58" s="188" t="s">
        <v>632</v>
      </c>
      <c r="Q58" s="348" t="s">
        <v>1362</v>
      </c>
      <c r="R58" s="199" t="s">
        <v>378</v>
      </c>
      <c r="S58" s="413" t="e">
        <f ca="1">IF(IF(O59="",O58,O59)&lt;16,IF(O59="",O58,O59),16)</f>
        <v>#DIV/0!</v>
      </c>
      <c r="T58" s="188"/>
      <c r="U58" s="600" t="s">
        <v>1363</v>
      </c>
      <c r="V58" s="617"/>
    </row>
    <row r="59" spans="1:22" s="64" customFormat="1" ht="15.6">
      <c r="A59" s="188"/>
      <c r="B59" s="235"/>
      <c r="C59" s="188"/>
      <c r="D59" s="188"/>
      <c r="E59" s="1980"/>
      <c r="F59" s="1007"/>
      <c r="G59" s="1979"/>
      <c r="H59" s="1007"/>
      <c r="I59" s="1007"/>
      <c r="J59" s="1007"/>
      <c r="K59" s="1007"/>
      <c r="L59" s="1007"/>
      <c r="M59" s="103" t="s">
        <v>573</v>
      </c>
      <c r="N59" s="47" t="s">
        <v>378</v>
      </c>
      <c r="O59" s="849"/>
      <c r="P59" s="578"/>
      <c r="Q59" s="348" t="s">
        <v>574</v>
      </c>
      <c r="R59" s="188"/>
      <c r="S59" s="223"/>
      <c r="T59" s="188"/>
      <c r="U59" s="600"/>
      <c r="V59" s="617"/>
    </row>
    <row r="60" spans="1:22" s="64" customFormat="1" ht="15.6">
      <c r="E60" s="1007"/>
      <c r="F60" s="1007"/>
      <c r="G60" s="1979"/>
      <c r="H60" s="1007"/>
      <c r="I60" s="1007"/>
      <c r="J60" s="1007"/>
      <c r="K60" s="1007"/>
      <c r="L60" s="1007"/>
      <c r="N60" s="363"/>
      <c r="O60" s="577"/>
      <c r="P60" s="578"/>
      <c r="Q60" s="363"/>
      <c r="R60" s="405"/>
      <c r="S60" s="220" t="s">
        <v>26</v>
      </c>
      <c r="T60" s="188"/>
      <c r="U60" s="600"/>
      <c r="V60" s="617"/>
    </row>
    <row r="61" spans="1:22" s="64" customFormat="1" ht="15.6">
      <c r="N61" s="363"/>
      <c r="O61" s="577"/>
      <c r="P61" s="578"/>
      <c r="Q61" s="348" t="s">
        <v>1364</v>
      </c>
      <c r="R61" s="199" t="s">
        <v>378</v>
      </c>
      <c r="S61" s="413" t="e">
        <f ca="1">S58</f>
        <v>#DIV/0!</v>
      </c>
      <c r="T61" s="188"/>
      <c r="U61" s="600" t="s">
        <v>1365</v>
      </c>
      <c r="V61" s="617"/>
    </row>
    <row r="62" spans="1:22" s="64" customFormat="1" ht="15.6">
      <c r="N62" s="363"/>
      <c r="O62" s="577"/>
      <c r="P62" s="578"/>
      <c r="Q62" s="348" t="s">
        <v>1366</v>
      </c>
      <c r="R62" s="188"/>
      <c r="S62" s="223"/>
      <c r="T62" s="188"/>
      <c r="U62" s="600"/>
      <c r="V62" s="617"/>
    </row>
    <row r="63" spans="1:22" s="64" customFormat="1" ht="15.6">
      <c r="A63" s="680"/>
      <c r="B63" s="680" t="s">
        <v>1367</v>
      </c>
      <c r="C63" s="723"/>
      <c r="D63" s="578"/>
      <c r="E63" s="577"/>
      <c r="F63" s="363"/>
      <c r="G63" s="577"/>
      <c r="H63" s="1190"/>
      <c r="I63" s="577"/>
      <c r="J63" s="577"/>
      <c r="K63" s="577"/>
      <c r="L63" s="578"/>
      <c r="M63" s="577"/>
      <c r="N63" s="363"/>
      <c r="O63" s="577"/>
      <c r="P63" s="578"/>
      <c r="Q63" s="348"/>
      <c r="R63" s="188"/>
      <c r="S63" s="223"/>
      <c r="T63" s="188"/>
      <c r="U63" s="600"/>
      <c r="V63" s="617"/>
    </row>
    <row r="64" spans="1:22" s="64" customFormat="1" ht="15.6">
      <c r="A64" s="680"/>
      <c r="B64" s="188"/>
      <c r="C64" s="723"/>
      <c r="D64" s="578"/>
      <c r="E64" s="577"/>
      <c r="F64" s="363"/>
      <c r="G64" s="71"/>
      <c r="H64" s="1190"/>
      <c r="I64" s="577"/>
      <c r="J64" s="577"/>
      <c r="K64" s="577"/>
      <c r="L64" s="578"/>
      <c r="M64" s="577"/>
      <c r="N64" s="363"/>
      <c r="O64" s="577"/>
      <c r="P64" s="578"/>
      <c r="Q64" s="348"/>
      <c r="R64" s="188"/>
      <c r="S64" s="223"/>
      <c r="T64" s="188"/>
      <c r="U64" s="600"/>
      <c r="V64" s="617"/>
    </row>
    <row r="65" spans="1:22" s="64" customFormat="1" ht="15.6">
      <c r="A65" s="680"/>
      <c r="B65" s="188"/>
      <c r="C65" s="723"/>
      <c r="D65" s="578"/>
      <c r="G65" s="857">
        <f>G16</f>
        <v>0</v>
      </c>
      <c r="H65" s="219" t="s">
        <v>349</v>
      </c>
      <c r="I65" s="414">
        <f>_Remote_BF_CTR</f>
        <v>0</v>
      </c>
      <c r="J65" s="219" t="s">
        <v>620</v>
      </c>
      <c r="K65" s="217">
        <f ca="1">_CTR_per_1</f>
        <v>0</v>
      </c>
      <c r="L65" s="219" t="s">
        <v>365</v>
      </c>
      <c r="M65" s="1320" t="e">
        <f ca="1">(G65*I65/K65)</f>
        <v>#DIV/0!</v>
      </c>
      <c r="N65" s="363"/>
      <c r="O65" s="577"/>
      <c r="P65" s="578"/>
      <c r="Q65" s="348"/>
      <c r="R65" s="188"/>
      <c r="S65" s="223"/>
      <c r="T65" s="188"/>
      <c r="U65" s="600" t="s">
        <v>1368</v>
      </c>
      <c r="V65" s="617"/>
    </row>
    <row r="66" spans="1:22" s="64" customFormat="1" ht="15.6">
      <c r="A66" s="188"/>
      <c r="B66" s="188"/>
      <c r="C66" s="723"/>
      <c r="D66" s="578"/>
      <c r="G66" s="365" t="s">
        <v>195</v>
      </c>
      <c r="H66" s="188"/>
      <c r="I66" s="363" t="s">
        <v>1359</v>
      </c>
      <c r="J66" s="188"/>
      <c r="K66" s="363" t="s">
        <v>1360</v>
      </c>
      <c r="L66" s="188"/>
      <c r="M66" s="363"/>
      <c r="N66" s="363"/>
      <c r="O66" s="577"/>
      <c r="S66" s="220" t="s">
        <v>26</v>
      </c>
      <c r="T66" s="188"/>
      <c r="U66" s="600" t="s">
        <v>1369</v>
      </c>
      <c r="V66" s="617"/>
    </row>
    <row r="67" spans="1:22" s="64" customFormat="1" ht="15.75" customHeight="1">
      <c r="A67" s="188"/>
      <c r="B67" s="188"/>
      <c r="D67" s="417"/>
      <c r="E67" s="1981" t="s">
        <v>1370</v>
      </c>
      <c r="F67" s="1981"/>
      <c r="G67" s="1981"/>
      <c r="H67" s="1981"/>
      <c r="I67" s="1981"/>
      <c r="J67" s="1981"/>
      <c r="K67" s="1981"/>
      <c r="L67" s="1981"/>
      <c r="O67" s="106" t="e">
        <f ca="1">MAX(MIN(M65,0.5),0.25)</f>
        <v>#DIV/0!</v>
      </c>
      <c r="P67" s="188" t="s">
        <v>632</v>
      </c>
      <c r="Q67" s="348" t="s">
        <v>1371</v>
      </c>
      <c r="R67" s="199" t="s">
        <v>378</v>
      </c>
      <c r="S67" s="413" t="e">
        <f ca="1">IF(O68="",O67,O68)</f>
        <v>#DIV/0!</v>
      </c>
      <c r="T67" s="188"/>
      <c r="U67" s="600" t="s">
        <v>1372</v>
      </c>
      <c r="V67" s="617"/>
    </row>
    <row r="68" spans="1:22" s="64" customFormat="1" ht="15.6">
      <c r="A68" s="188"/>
      <c r="B68" s="188"/>
      <c r="C68" s="417"/>
      <c r="D68" s="417"/>
      <c r="E68" s="1981"/>
      <c r="F68" s="1981"/>
      <c r="G68" s="1981"/>
      <c r="H68" s="1981"/>
      <c r="I68" s="1981"/>
      <c r="J68" s="1981"/>
      <c r="K68" s="1981"/>
      <c r="L68" s="1981"/>
      <c r="M68" s="103" t="s">
        <v>573</v>
      </c>
      <c r="N68" s="47" t="s">
        <v>378</v>
      </c>
      <c r="O68" s="849"/>
      <c r="P68" s="578"/>
      <c r="Q68" s="348" t="s">
        <v>1373</v>
      </c>
      <c r="R68" s="199"/>
      <c r="S68" s="232"/>
      <c r="T68" s="188"/>
      <c r="U68" s="600"/>
      <c r="V68" s="617"/>
    </row>
    <row r="69" spans="1:22" s="64" customFormat="1" ht="18" customHeight="1">
      <c r="A69" s="188"/>
      <c r="B69" s="188"/>
      <c r="C69" s="417"/>
      <c r="D69" s="417"/>
      <c r="E69" s="1981"/>
      <c r="F69" s="1981"/>
      <c r="G69" s="1981"/>
      <c r="H69" s="1981"/>
      <c r="I69" s="1981"/>
      <c r="J69" s="1981"/>
      <c r="K69" s="1981"/>
      <c r="L69" s="1981"/>
      <c r="M69" s="577"/>
      <c r="N69" s="363"/>
      <c r="O69" s="577"/>
      <c r="P69" s="578"/>
      <c r="Q69" s="363"/>
      <c r="R69" s="405"/>
      <c r="S69" s="220"/>
      <c r="T69" s="188"/>
      <c r="U69" s="600"/>
      <c r="V69" s="617"/>
    </row>
    <row r="70" spans="1:22" s="64" customFormat="1" ht="11.25" customHeight="1">
      <c r="A70" s="188"/>
      <c r="B70" s="188"/>
      <c r="C70" s="723"/>
      <c r="D70" s="578"/>
      <c r="E70" s="1981"/>
      <c r="F70" s="1981"/>
      <c r="G70" s="1981"/>
      <c r="H70" s="1981"/>
      <c r="I70" s="1981"/>
      <c r="J70" s="1981"/>
      <c r="K70" s="1981"/>
      <c r="L70" s="1981"/>
      <c r="M70" s="416"/>
      <c r="Q70" s="363"/>
      <c r="R70" s="405"/>
      <c r="T70" s="188"/>
      <c r="U70" s="600"/>
      <c r="V70" s="617"/>
    </row>
    <row r="71" spans="1:22" s="64" customFormat="1" ht="15.6">
      <c r="A71" s="188"/>
      <c r="B71" s="680" t="s">
        <v>1374</v>
      </c>
      <c r="C71" s="723"/>
      <c r="D71" s="578"/>
      <c r="E71" s="577"/>
      <c r="F71" s="363"/>
      <c r="G71" s="577"/>
      <c r="H71" s="1190"/>
      <c r="I71" s="577"/>
      <c r="J71" s="577"/>
      <c r="K71" s="577"/>
      <c r="L71" s="578"/>
      <c r="M71" s="416"/>
      <c r="Q71" s="363"/>
      <c r="R71" s="188"/>
      <c r="S71" s="220"/>
      <c r="T71" s="188"/>
      <c r="U71" s="600"/>
      <c r="V71" s="617"/>
    </row>
    <row r="72" spans="1:22" s="64" customFormat="1" ht="15.6">
      <c r="A72" s="188"/>
      <c r="B72" s="188"/>
      <c r="C72" s="723"/>
      <c r="D72" s="578"/>
      <c r="E72" s="577"/>
      <c r="F72" s="363"/>
      <c r="G72" s="577"/>
      <c r="H72" s="1190"/>
      <c r="I72" s="577"/>
      <c r="J72" s="577"/>
      <c r="K72" s="577"/>
      <c r="L72" s="578"/>
      <c r="M72" s="416"/>
      <c r="Q72" s="363"/>
      <c r="R72" s="188"/>
      <c r="S72" s="220" t="s">
        <v>26</v>
      </c>
      <c r="T72" s="188"/>
      <c r="U72" s="600"/>
      <c r="V72" s="617"/>
    </row>
    <row r="73" spans="1:22" s="64" customFormat="1" ht="12.75" customHeight="1">
      <c r="A73" s="188"/>
      <c r="C73" s="723"/>
      <c r="D73" s="365" t="s">
        <v>1375</v>
      </c>
      <c r="E73" s="199" t="s">
        <v>365</v>
      </c>
      <c r="F73" s="199" t="s">
        <v>535</v>
      </c>
      <c r="G73" s="354">
        <v>0.2</v>
      </c>
      <c r="H73" s="201" t="s">
        <v>536</v>
      </c>
      <c r="I73" s="228">
        <f ca="1">$E$6</f>
        <v>0</v>
      </c>
      <c r="J73" s="356" t="s">
        <v>620</v>
      </c>
      <c r="K73" s="217">
        <f ca="1">_CTR_per_1</f>
        <v>0</v>
      </c>
      <c r="L73" s="219" t="s">
        <v>539</v>
      </c>
      <c r="M73" s="1320" t="e">
        <f ca="1">(G73*I73/K73)</f>
        <v>#DIV/0!</v>
      </c>
      <c r="N73" s="680"/>
      <c r="P73" s="931"/>
      <c r="Q73" s="1373" t="s">
        <v>1376</v>
      </c>
      <c r="R73" s="199" t="s">
        <v>378</v>
      </c>
      <c r="S73" s="413" t="e">
        <f ca="1">IF(O75="",O74,O75)</f>
        <v>#DIV/0!</v>
      </c>
      <c r="T73" s="188"/>
      <c r="U73" s="600" t="s">
        <v>1377</v>
      </c>
      <c r="V73" s="617"/>
    </row>
    <row r="74" spans="1:22" s="64" customFormat="1" ht="15.6">
      <c r="D74" s="188"/>
      <c r="E74" s="723"/>
      <c r="F74" s="578"/>
      <c r="G74" s="86" t="s">
        <v>544</v>
      </c>
      <c r="H74" s="363"/>
      <c r="I74" s="363" t="s">
        <v>549</v>
      </c>
      <c r="J74" s="363"/>
      <c r="K74" s="577" t="s">
        <v>1378</v>
      </c>
      <c r="L74" s="577"/>
      <c r="M74" s="363"/>
      <c r="N74" s="680"/>
      <c r="O74" s="106" t="e">
        <f ca="1">M73</f>
        <v>#DIV/0!</v>
      </c>
      <c r="P74" s="188" t="s">
        <v>632</v>
      </c>
      <c r="Q74" s="348" t="s">
        <v>1379</v>
      </c>
      <c r="T74" s="188"/>
      <c r="U74" s="600" t="s">
        <v>1380</v>
      </c>
      <c r="V74" s="617"/>
    </row>
    <row r="75" spans="1:22" s="64" customFormat="1" ht="15.6">
      <c r="M75" s="103" t="s">
        <v>573</v>
      </c>
      <c r="N75" s="47" t="s">
        <v>378</v>
      </c>
      <c r="O75" s="849"/>
      <c r="Q75" s="363"/>
      <c r="R75" s="405"/>
      <c r="S75" s="220" t="s">
        <v>26</v>
      </c>
      <c r="T75" s="188"/>
      <c r="U75" s="600"/>
      <c r="V75" s="617"/>
    </row>
    <row r="76" spans="1:22" s="64" customFormat="1" ht="15.6">
      <c r="M76" s="277"/>
      <c r="N76" s="47"/>
      <c r="P76" s="1373"/>
      <c r="Q76" s="1400" t="s">
        <v>1381</v>
      </c>
      <c r="R76" s="199" t="s">
        <v>378</v>
      </c>
      <c r="S76" s="413" t="e">
        <f ca="1">IF(O75="",O74,O75)</f>
        <v>#DIV/0!</v>
      </c>
      <c r="T76" s="188"/>
      <c r="U76" s="600" t="s">
        <v>1382</v>
      </c>
      <c r="V76" s="617"/>
    </row>
    <row r="77" spans="1:22" s="64" customFormat="1" ht="15.6">
      <c r="O77" s="1373"/>
      <c r="P77" s="1373"/>
      <c r="Q77" s="415" t="s">
        <v>1366</v>
      </c>
      <c r="T77" s="188"/>
      <c r="U77" s="600"/>
      <c r="V77" s="617"/>
    </row>
    <row r="78" spans="1:22" s="64" customFormat="1" ht="15.6">
      <c r="E78" s="694" t="s">
        <v>1383</v>
      </c>
      <c r="U78" s="599"/>
      <c r="V78" s="617"/>
    </row>
    <row r="79" spans="1:22" s="64" customFormat="1" ht="12.75" customHeight="1">
      <c r="T79" s="406"/>
      <c r="U79" s="599"/>
      <c r="V79" s="617"/>
    </row>
    <row r="80" spans="1:22" s="64" customFormat="1" ht="15.6">
      <c r="M80" s="97"/>
      <c r="N80" s="97"/>
      <c r="O80" s="97"/>
      <c r="P80" s="97"/>
      <c r="Q80" s="97"/>
      <c r="R80" s="97"/>
      <c r="S80" s="97"/>
      <c r="U80" s="599"/>
      <c r="V80" s="617"/>
    </row>
    <row r="121" spans="29:29">
      <c r="AC121" s="670" t="s">
        <v>1384</v>
      </c>
    </row>
    <row r="122" spans="29:29">
      <c r="AC122">
        <v>0</v>
      </c>
    </row>
    <row r="123" spans="29:29">
      <c r="AC123">
        <v>1</v>
      </c>
    </row>
  </sheetData>
  <sheetProtection algorithmName="SHA-512" hashValue="gn2SrDgg5r6tsWXD4UOdhZrt5T8Tmw7hJHAczZD7FS2f7WR9Y6X914RvkUxnaRQ4DslUuqdw13hBFFDjJSNJ+Q==" saltValue="RJDoKZjTFvcRMHnDneoSTA==" spinCount="100000" sheet="1" objects="1" scenarios="1"/>
  <dataConsolidate/>
  <mergeCells count="12">
    <mergeCell ref="K6:S13"/>
    <mergeCell ref="B25:S29"/>
    <mergeCell ref="N47:S49"/>
    <mergeCell ref="Q34:Q35"/>
    <mergeCell ref="I15:R16"/>
    <mergeCell ref="S15:S16"/>
    <mergeCell ref="G57:G60"/>
    <mergeCell ref="E57:E59"/>
    <mergeCell ref="E67:L70"/>
    <mergeCell ref="B51:U52"/>
    <mergeCell ref="B19:U19"/>
    <mergeCell ref="B23:U23"/>
  </mergeCells>
  <dataValidations disablePrompts="1" count="1">
    <dataValidation type="list" allowBlank="1" showInputMessage="1" showErrorMessage="1" sqref="G21" xr:uid="{00000000-0002-0000-0900-000000000000}">
      <formula1>$AC$122:$AC$123</formula1>
    </dataValidation>
  </dataValidations>
  <pageMargins left="0.7" right="0.7" top="0.75" bottom="0.75" header="0.3" footer="0.3"/>
  <pageSetup paperSize="17" scale="90" orientation="landscape" r:id="rId1"/>
  <headerFooter>
    <oddFooter>&amp;R&amp;F
Tab: &amp;A</oddFooter>
  </headerFooter>
  <rowBreaks count="1" manualBreakCount="1">
    <brk id="49" max="21" man="1"/>
  </row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A1:AC86"/>
  <sheetViews>
    <sheetView showGridLines="0" topLeftCell="A7" zoomScaleNormal="100" zoomScaleSheetLayoutView="100" workbookViewId="0">
      <selection activeCell="G23" sqref="G23"/>
    </sheetView>
  </sheetViews>
  <sheetFormatPr defaultColWidth="9.109375" defaultRowHeight="13.2"/>
  <cols>
    <col min="1" max="1" width="2.5546875" customWidth="1"/>
    <col min="2" max="2" width="23.88671875" customWidth="1"/>
    <col min="3" max="3" width="6.44140625" customWidth="1"/>
    <col min="4" max="4" width="1.6640625" customWidth="1"/>
    <col min="5" max="5" width="33.5546875" customWidth="1"/>
    <col min="6" max="6" width="4.44140625" customWidth="1"/>
    <col min="7" max="7" width="12" customWidth="1"/>
    <col min="8" max="8" width="2.109375" customWidth="1"/>
    <col min="9" max="9" width="12.109375" customWidth="1"/>
    <col min="10" max="10" width="2.6640625" customWidth="1"/>
    <col min="11" max="11" width="12.109375" customWidth="1"/>
    <col min="12" max="12" width="2.5546875" customWidth="1"/>
    <col min="13" max="13" width="9.6640625" customWidth="1"/>
    <col min="14" max="14" width="3.109375" customWidth="1"/>
    <col min="15" max="15" width="10.44140625" customWidth="1"/>
    <col min="16" max="16" width="6" customWidth="1"/>
    <col min="17" max="17" width="16.5546875" customWidth="1"/>
    <col min="18" max="18" width="2.6640625" customWidth="1"/>
    <col min="19" max="19" width="9.33203125" customWidth="1"/>
    <col min="20" max="20" width="2" customWidth="1"/>
    <col min="21" max="21" width="9" customWidth="1"/>
    <col min="22" max="22" width="14.33203125" customWidth="1"/>
  </cols>
  <sheetData>
    <row r="1" spans="2:22" ht="17.399999999999999">
      <c r="B1" s="189"/>
      <c r="C1" s="188"/>
      <c r="D1" s="188"/>
      <c r="E1" s="188"/>
      <c r="F1" s="188"/>
      <c r="G1" s="188"/>
      <c r="H1" s="188"/>
      <c r="I1" s="188"/>
      <c r="J1" s="188"/>
      <c r="K1" s="188"/>
      <c r="L1" s="188"/>
      <c r="M1" s="188"/>
      <c r="N1" s="188"/>
      <c r="O1" s="188"/>
      <c r="P1" s="188"/>
      <c r="Q1" s="188"/>
      <c r="R1" s="188"/>
      <c r="S1" s="188"/>
      <c r="T1" s="188"/>
      <c r="U1" s="600" t="s">
        <v>360</v>
      </c>
      <c r="V1" s="617" t="s">
        <v>361</v>
      </c>
    </row>
    <row r="2" spans="2:22" ht="17.399999999999999">
      <c r="B2" s="189"/>
      <c r="C2" s="188"/>
      <c r="D2" s="188"/>
      <c r="E2" s="188"/>
      <c r="F2" s="188"/>
      <c r="G2" s="680"/>
      <c r="H2" s="188"/>
      <c r="I2" s="188"/>
      <c r="J2" s="188"/>
      <c r="K2" s="188"/>
      <c r="L2" s="188"/>
      <c r="M2" s="188"/>
      <c r="N2" s="188"/>
      <c r="O2" s="188"/>
      <c r="P2" s="188"/>
      <c r="Q2" s="188"/>
      <c r="R2" s="188"/>
      <c r="S2" s="188"/>
      <c r="T2" s="188"/>
      <c r="U2" s="600"/>
      <c r="V2" s="617"/>
    </row>
    <row r="3" spans="2:22" ht="15.6">
      <c r="B3" s="190" t="s">
        <v>1385</v>
      </c>
      <c r="C3" s="190"/>
      <c r="D3" s="190"/>
      <c r="E3" s="190"/>
      <c r="F3" s="190"/>
      <c r="G3" s="188"/>
      <c r="H3" s="188"/>
      <c r="I3" s="191">
        <f>Relay_Location</f>
        <v>0</v>
      </c>
      <c r="J3" s="191"/>
      <c r="K3" s="192"/>
      <c r="L3" s="192"/>
      <c r="M3" s="190" t="s">
        <v>363</v>
      </c>
      <c r="N3" s="190"/>
      <c r="O3" s="191">
        <f>Remote_Location</f>
        <v>0</v>
      </c>
      <c r="P3" s="192"/>
      <c r="Q3" s="192"/>
      <c r="R3" s="192"/>
      <c r="S3" s="188"/>
      <c r="T3" s="188"/>
      <c r="U3" s="600"/>
      <c r="V3" s="617"/>
    </row>
    <row r="4" spans="2:22" ht="15.6">
      <c r="B4" s="188"/>
      <c r="C4" s="188"/>
      <c r="D4" s="188"/>
      <c r="E4" s="188"/>
      <c r="F4" s="188"/>
      <c r="G4" s="188"/>
      <c r="H4" s="188"/>
      <c r="I4" s="1176"/>
      <c r="J4" s="1176"/>
      <c r="K4" s="188"/>
      <c r="L4" s="188"/>
      <c r="M4" s="188"/>
      <c r="N4" s="188"/>
      <c r="O4" s="1176"/>
      <c r="P4" s="188"/>
      <c r="Q4" s="188"/>
      <c r="R4" s="188"/>
      <c r="S4" s="188"/>
      <c r="T4" s="188"/>
      <c r="U4" s="600"/>
      <c r="V4" s="617"/>
    </row>
    <row r="5" spans="2:22" ht="15.6">
      <c r="B5" s="188"/>
      <c r="C5" s="188"/>
      <c r="D5" s="188"/>
      <c r="E5" s="188"/>
      <c r="F5" s="1177"/>
      <c r="G5" s="188"/>
      <c r="H5" s="188"/>
      <c r="I5" s="188"/>
      <c r="J5" s="188"/>
      <c r="K5" s="188"/>
      <c r="L5" s="188"/>
      <c r="M5" s="188"/>
      <c r="N5" s="188"/>
      <c r="O5" s="188"/>
      <c r="P5" s="188"/>
      <c r="Q5" s="188"/>
      <c r="R5" s="188"/>
      <c r="S5" s="188"/>
      <c r="T5" s="188"/>
      <c r="U5" s="600"/>
      <c r="V5" s="617"/>
    </row>
    <row r="6" spans="2:22" ht="15.6">
      <c r="B6" s="193" t="s">
        <v>364</v>
      </c>
      <c r="C6" s="194" t="s">
        <v>365</v>
      </c>
      <c r="D6" s="188"/>
      <c r="E6" s="195">
        <f ca="1">Line_Limit</f>
        <v>0</v>
      </c>
      <c r="F6" s="1177" t="s">
        <v>69</v>
      </c>
      <c r="G6" s="1375"/>
      <c r="H6" s="1375"/>
      <c r="I6" s="1176"/>
      <c r="J6" s="1176"/>
      <c r="K6" s="1827" t="s">
        <v>1386</v>
      </c>
      <c r="L6" s="1968"/>
      <c r="M6" s="1968"/>
      <c r="N6" s="1968"/>
      <c r="O6" s="1968"/>
      <c r="P6" s="1968"/>
      <c r="Q6" s="1968"/>
      <c r="R6" s="1968"/>
      <c r="S6" s="1968"/>
      <c r="T6" s="188"/>
      <c r="U6" s="600"/>
      <c r="V6" s="617"/>
    </row>
    <row r="7" spans="2:22" ht="15.6">
      <c r="B7" s="196" t="s">
        <v>367</v>
      </c>
      <c r="C7" s="194" t="s">
        <v>365</v>
      </c>
      <c r="D7" s="188"/>
      <c r="E7" s="709">
        <f ca="1">CTR</f>
        <v>0</v>
      </c>
      <c r="F7" s="1178" t="s">
        <v>368</v>
      </c>
      <c r="G7" s="197">
        <f ca="1">E7/5</f>
        <v>0</v>
      </c>
      <c r="H7" s="198" t="s">
        <v>183</v>
      </c>
      <c r="I7" s="1176"/>
      <c r="J7" s="1176"/>
      <c r="K7" s="1968"/>
      <c r="L7" s="1968"/>
      <c r="M7" s="1968"/>
      <c r="N7" s="1968"/>
      <c r="O7" s="1968"/>
      <c r="P7" s="1968"/>
      <c r="Q7" s="1968"/>
      <c r="R7" s="1968"/>
      <c r="S7" s="1968"/>
      <c r="T7" s="188"/>
      <c r="U7" s="600"/>
      <c r="V7" s="617"/>
    </row>
    <row r="8" spans="2:22" ht="15.6">
      <c r="B8" s="196" t="s">
        <v>369</v>
      </c>
      <c r="C8" s="194" t="s">
        <v>365</v>
      </c>
      <c r="D8" s="188"/>
      <c r="E8" s="709">
        <f ca="1">PTR</f>
        <v>0</v>
      </c>
      <c r="F8" s="1178" t="s">
        <v>183</v>
      </c>
      <c r="G8" s="200"/>
      <c r="H8" s="200"/>
      <c r="I8" s="1176"/>
      <c r="J8" s="1176"/>
      <c r="K8" s="1968"/>
      <c r="L8" s="1968"/>
      <c r="M8" s="1968"/>
      <c r="N8" s="1968"/>
      <c r="O8" s="1968"/>
      <c r="P8" s="1968"/>
      <c r="Q8" s="1968"/>
      <c r="R8" s="1968"/>
      <c r="S8" s="1968"/>
      <c r="T8" s="188"/>
      <c r="U8" s="600"/>
      <c r="V8" s="617"/>
    </row>
    <row r="9" spans="2:22" ht="15.6">
      <c r="B9" s="196" t="s">
        <v>370</v>
      </c>
      <c r="C9" s="194" t="s">
        <v>365</v>
      </c>
      <c r="D9" s="188"/>
      <c r="E9" s="347" t="e">
        <f ca="1">CTR_PTR</f>
        <v>#DIV/0!</v>
      </c>
      <c r="F9" s="1179"/>
      <c r="G9" s="201"/>
      <c r="H9" s="201"/>
      <c r="I9" s="1176"/>
      <c r="J9" s="1176"/>
      <c r="K9" s="1968"/>
      <c r="L9" s="1968"/>
      <c r="M9" s="1968"/>
      <c r="N9" s="1968"/>
      <c r="O9" s="1968"/>
      <c r="P9" s="1968"/>
      <c r="Q9" s="1968"/>
      <c r="R9" s="1968"/>
      <c r="S9" s="1968"/>
      <c r="T9" s="188"/>
      <c r="U9" s="600"/>
      <c r="V9" s="617"/>
    </row>
    <row r="10" spans="2:22" ht="15.6">
      <c r="B10" s="202" t="s">
        <v>372</v>
      </c>
      <c r="C10" s="194" t="s">
        <v>365</v>
      </c>
      <c r="D10" s="188"/>
      <c r="E10" s="710">
        <f ca="1">'6) Zone Imp'!$E$5</f>
        <v>0</v>
      </c>
      <c r="F10" s="1180" t="s">
        <v>373</v>
      </c>
      <c r="G10" s="188"/>
      <c r="H10" s="188"/>
      <c r="I10" s="1176"/>
      <c r="J10" s="1176"/>
      <c r="K10" s="1968"/>
      <c r="L10" s="1968"/>
      <c r="M10" s="1968"/>
      <c r="N10" s="1968"/>
      <c r="O10" s="1968"/>
      <c r="P10" s="1968"/>
      <c r="Q10" s="1968"/>
      <c r="R10" s="1968"/>
      <c r="S10" s="1968"/>
      <c r="T10" s="188"/>
      <c r="U10" s="600"/>
      <c r="V10" s="617"/>
    </row>
    <row r="11" spans="2:22" ht="15.6">
      <c r="B11" s="188"/>
      <c r="I11" s="1375"/>
      <c r="J11" s="1176"/>
      <c r="K11" s="1968"/>
      <c r="L11" s="1968"/>
      <c r="M11" s="1968"/>
      <c r="N11" s="1968"/>
      <c r="O11" s="1968"/>
      <c r="P11" s="1968"/>
      <c r="Q11" s="1968"/>
      <c r="R11" s="1968"/>
      <c r="S11" s="1968"/>
      <c r="T11" s="188"/>
      <c r="U11" s="600"/>
      <c r="V11" s="617"/>
    </row>
    <row r="12" spans="2:22" ht="15.6">
      <c r="B12" s="202"/>
      <c r="C12" s="202"/>
      <c r="D12" s="188"/>
      <c r="E12" s="204"/>
      <c r="F12" s="204"/>
      <c r="G12" s="201"/>
      <c r="H12" s="201"/>
      <c r="I12" s="205"/>
      <c r="J12" s="205"/>
      <c r="K12" s="1968"/>
      <c r="L12" s="1968"/>
      <c r="M12" s="1968"/>
      <c r="N12" s="1968"/>
      <c r="O12" s="1968"/>
      <c r="P12" s="1968"/>
      <c r="Q12" s="1968"/>
      <c r="R12" s="1968"/>
      <c r="S12" s="1968"/>
      <c r="T12" s="188"/>
      <c r="U12" s="600"/>
      <c r="V12" s="617"/>
    </row>
    <row r="13" spans="2:22" ht="15.6">
      <c r="B13" s="190"/>
      <c r="C13" s="188"/>
      <c r="D13" s="188"/>
      <c r="E13" s="723"/>
      <c r="F13" s="188"/>
      <c r="H13" s="723"/>
      <c r="I13" s="188"/>
      <c r="J13" s="188"/>
      <c r="K13" s="1968"/>
      <c r="L13" s="1968"/>
      <c r="M13" s="1968"/>
      <c r="N13" s="1968"/>
      <c r="O13" s="1968"/>
      <c r="P13" s="1968"/>
      <c r="Q13" s="1968"/>
      <c r="R13" s="1968"/>
      <c r="S13" s="1968"/>
      <c r="T13" s="188"/>
      <c r="U13" s="600"/>
      <c r="V13" s="617"/>
    </row>
    <row r="14" spans="2:22" ht="15.6">
      <c r="B14" s="190" t="s">
        <v>374</v>
      </c>
      <c r="C14" s="188"/>
      <c r="D14" s="188"/>
      <c r="F14" s="188"/>
      <c r="H14" s="723"/>
      <c r="I14" s="716"/>
      <c r="J14" s="188"/>
      <c r="K14" s="1399"/>
      <c r="L14" s="1399"/>
      <c r="M14" s="1399"/>
      <c r="N14" s="1399"/>
      <c r="O14" s="1399"/>
      <c r="P14" s="1399"/>
      <c r="Q14" s="1399"/>
      <c r="R14" s="1399"/>
      <c r="S14" s="1399"/>
      <c r="T14" s="188"/>
      <c r="U14" s="600"/>
      <c r="V14" s="617"/>
    </row>
    <row r="15" spans="2:22" ht="15.6">
      <c r="B15" s="723" t="s">
        <v>1387</v>
      </c>
      <c r="C15" s="188"/>
      <c r="D15" s="188"/>
      <c r="E15" s="723"/>
      <c r="F15" s="188"/>
      <c r="H15" s="723"/>
      <c r="I15" s="717"/>
      <c r="J15" s="188"/>
      <c r="K15" s="1399"/>
      <c r="L15" s="1399"/>
      <c r="M15" s="1399"/>
      <c r="N15" s="1399"/>
      <c r="O15" s="1399"/>
      <c r="P15" s="1399"/>
      <c r="Q15" s="1399"/>
      <c r="R15" s="1399"/>
      <c r="S15" s="1399"/>
      <c r="T15" s="188"/>
      <c r="U15" s="600"/>
      <c r="V15" s="617"/>
    </row>
    <row r="16" spans="2:22" ht="15.75" customHeight="1">
      <c r="B16" s="190"/>
      <c r="C16" s="188"/>
      <c r="D16" s="188"/>
      <c r="E16" s="729" t="s">
        <v>1388</v>
      </c>
      <c r="F16" s="727" t="s">
        <v>365</v>
      </c>
      <c r="G16" s="730">
        <f>MAX('4) Fault Analysis'!G36,'4) Fault Analysis'!I36,'4) Fault Analysis'!K36)</f>
        <v>0</v>
      </c>
      <c r="H16" s="728"/>
      <c r="I16" s="680" t="s">
        <v>1389</v>
      </c>
      <c r="J16" s="188"/>
      <c r="K16" s="1399"/>
      <c r="L16" s="1399"/>
      <c r="M16" s="1399"/>
      <c r="N16" s="1399"/>
      <c r="O16" s="1399"/>
      <c r="P16" s="1399"/>
      <c r="Q16" s="1399"/>
      <c r="R16" s="1399"/>
      <c r="S16" s="1399"/>
      <c r="T16" s="188"/>
      <c r="U16" s="600" t="s">
        <v>1390</v>
      </c>
      <c r="V16" s="617"/>
    </row>
    <row r="18" spans="1:26" s="64" customFormat="1" ht="15.6">
      <c r="A18" s="224"/>
      <c r="B18" s="187"/>
      <c r="C18" s="187"/>
      <c r="D18" s="187"/>
      <c r="E18" s="187"/>
      <c r="F18" s="187"/>
      <c r="G18" s="187"/>
      <c r="H18" s="187"/>
      <c r="I18" s="225"/>
      <c r="J18" s="225"/>
      <c r="K18" s="187"/>
      <c r="L18" s="187"/>
      <c r="M18" s="226"/>
      <c r="N18" s="187"/>
      <c r="O18" s="187"/>
      <c r="P18" s="187"/>
      <c r="Q18" s="187"/>
      <c r="R18" s="187"/>
      <c r="S18" s="187"/>
      <c r="T18" s="188"/>
      <c r="U18" s="600"/>
      <c r="V18" s="617"/>
    </row>
    <row r="19" spans="1:26" s="64" customFormat="1" ht="12.75" customHeight="1">
      <c r="A19" s="680"/>
      <c r="B19" s="197" t="s">
        <v>1391</v>
      </c>
      <c r="C19" s="227"/>
      <c r="D19" s="188"/>
      <c r="E19" s="188"/>
      <c r="F19" s="188"/>
      <c r="G19" s="97"/>
      <c r="H19" s="97"/>
      <c r="I19" s="97"/>
      <c r="J19" s="97"/>
      <c r="K19" s="97"/>
      <c r="L19" s="97"/>
      <c r="M19" s="97"/>
      <c r="N19" s="97"/>
      <c r="O19" s="97"/>
      <c r="P19" s="97"/>
      <c r="Q19" s="97"/>
      <c r="R19" s="97"/>
      <c r="S19" s="97"/>
      <c r="T19" s="97"/>
      <c r="U19" s="602"/>
      <c r="V19" s="620"/>
    </row>
    <row r="20" spans="1:26" s="64" customFormat="1" ht="15.6">
      <c r="A20" s="188"/>
      <c r="B20" s="680" t="s">
        <v>1392</v>
      </c>
      <c r="C20" s="197"/>
      <c r="D20" s="188"/>
      <c r="E20" s="188"/>
      <c r="F20" s="188"/>
      <c r="G20" s="188"/>
      <c r="H20" s="188"/>
      <c r="I20" s="188"/>
      <c r="J20" s="188"/>
      <c r="K20" s="188"/>
      <c r="L20" s="188"/>
      <c r="M20" s="188"/>
      <c r="N20" s="188"/>
      <c r="O20" s="188"/>
      <c r="P20" s="188"/>
      <c r="Q20" s="188"/>
      <c r="R20" s="188"/>
      <c r="S20" s="188"/>
      <c r="T20" s="188"/>
      <c r="U20" s="600"/>
      <c r="V20" s="617"/>
      <c r="X20" s="694"/>
      <c r="Y20" s="694"/>
      <c r="Z20" s="694"/>
    </row>
    <row r="21" spans="1:26" ht="15.6">
      <c r="A21" s="188"/>
      <c r="B21" s="197"/>
      <c r="C21" s="197"/>
      <c r="D21" s="188"/>
      <c r="E21" s="188"/>
      <c r="F21" s="188"/>
      <c r="G21" s="188"/>
      <c r="H21" s="188"/>
      <c r="I21" s="188"/>
      <c r="J21" s="188"/>
      <c r="K21" s="188"/>
      <c r="L21" s="188"/>
      <c r="M21" s="188"/>
      <c r="N21" s="188"/>
      <c r="O21" s="188"/>
      <c r="P21" s="188"/>
      <c r="Q21" s="188"/>
      <c r="R21" s="188"/>
      <c r="S21" s="188"/>
      <c r="T21" s="188"/>
      <c r="U21" s="600"/>
      <c r="V21" s="617"/>
    </row>
    <row r="22" spans="1:26" ht="15.6">
      <c r="A22" s="188"/>
      <c r="B22" s="64"/>
      <c r="C22" s="64"/>
      <c r="D22" s="188"/>
      <c r="E22" s="1381" t="s">
        <v>1393</v>
      </c>
      <c r="F22" s="680"/>
      <c r="G22" s="680"/>
      <c r="H22" s="680"/>
      <c r="I22" s="188"/>
      <c r="J22" s="188"/>
      <c r="K22" s="188"/>
      <c r="L22" s="188"/>
      <c r="M22" s="188"/>
      <c r="N22" s="188"/>
      <c r="O22" s="188"/>
      <c r="P22" s="188"/>
      <c r="Q22" s="188"/>
      <c r="R22" s="188"/>
      <c r="S22" s="188"/>
      <c r="T22" s="188"/>
      <c r="U22" s="600"/>
      <c r="V22" s="617"/>
    </row>
    <row r="23" spans="1:26" ht="15.6">
      <c r="A23" s="188"/>
      <c r="F23" s="353" t="s">
        <v>535</v>
      </c>
      <c r="G23" s="354">
        <v>1.51</v>
      </c>
      <c r="H23" s="352" t="s">
        <v>536</v>
      </c>
      <c r="I23" s="1321">
        <f ca="1">$E$6</f>
        <v>0</v>
      </c>
      <c r="J23" s="353" t="s">
        <v>537</v>
      </c>
      <c r="K23" s="217">
        <f ca="1">_CTR_per_1</f>
        <v>0</v>
      </c>
      <c r="L23" s="351" t="s">
        <v>365</v>
      </c>
      <c r="M23" s="393" t="e">
        <f ca="1">ROUNDUP((G23*I23)/K23,1)</f>
        <v>#DIV/0!</v>
      </c>
      <c r="N23" s="188" t="s">
        <v>632</v>
      </c>
      <c r="O23" s="188"/>
      <c r="P23" s="64"/>
      <c r="Q23" s="64"/>
      <c r="R23" s="64"/>
      <c r="S23" s="64"/>
      <c r="T23" s="188"/>
      <c r="U23" s="600" t="s">
        <v>1394</v>
      </c>
      <c r="V23" s="617"/>
    </row>
    <row r="24" spans="1:26" ht="15.6">
      <c r="A24" s="188"/>
      <c r="B24" s="64"/>
      <c r="C24" s="64"/>
      <c r="D24" s="188"/>
      <c r="E24" s="363"/>
      <c r="F24" s="363"/>
      <c r="G24" s="364" t="s">
        <v>544</v>
      </c>
      <c r="H24" s="577"/>
      <c r="I24" s="363" t="s">
        <v>549</v>
      </c>
      <c r="J24" s="350"/>
      <c r="K24" s="363" t="s">
        <v>367</v>
      </c>
      <c r="L24" s="680"/>
      <c r="M24" s="680"/>
      <c r="N24" s="188"/>
      <c r="O24" s="188"/>
      <c r="P24" s="64"/>
      <c r="Q24" s="64"/>
      <c r="R24" s="64"/>
      <c r="S24" s="64"/>
      <c r="T24" s="188"/>
      <c r="U24" s="600"/>
      <c r="V24" s="619"/>
    </row>
    <row r="25" spans="1:26" ht="15.6">
      <c r="A25" s="188"/>
      <c r="B25" s="64"/>
      <c r="C25" s="64"/>
      <c r="D25" s="188"/>
      <c r="E25" s="363"/>
      <c r="F25" s="363"/>
      <c r="G25" s="364"/>
      <c r="H25" s="577"/>
      <c r="I25" s="363"/>
      <c r="J25" s="350"/>
      <c r="K25" s="363"/>
      <c r="L25" s="680"/>
      <c r="M25" s="680"/>
      <c r="N25" s="188"/>
      <c r="O25" s="188"/>
      <c r="P25" s="64"/>
      <c r="Q25" s="64"/>
      <c r="R25" s="64"/>
      <c r="S25" s="64"/>
      <c r="T25" s="188"/>
      <c r="U25" s="600"/>
      <c r="V25" s="619"/>
    </row>
    <row r="26" spans="1:26" ht="15.6">
      <c r="A26" s="188"/>
      <c r="B26" s="64"/>
      <c r="C26" s="64"/>
      <c r="D26" s="188"/>
      <c r="E26" s="363"/>
      <c r="F26" s="353" t="s">
        <v>535</v>
      </c>
      <c r="G26" s="354">
        <v>0.5</v>
      </c>
      <c r="H26" s="352" t="s">
        <v>536</v>
      </c>
      <c r="I26" s="1321">
        <f>G16</f>
        <v>0</v>
      </c>
      <c r="J26" s="353" t="s">
        <v>537</v>
      </c>
      <c r="K26" s="217">
        <f ca="1">_CTR_per_1</f>
        <v>0</v>
      </c>
      <c r="L26" s="351" t="s">
        <v>365</v>
      </c>
      <c r="M26" s="393" t="e">
        <f ca="1">ROUNDUP((G26*I26)/K26,1)</f>
        <v>#DIV/0!</v>
      </c>
      <c r="N26" s="188" t="s">
        <v>632</v>
      </c>
      <c r="O26" s="188"/>
      <c r="P26" s="64"/>
      <c r="Q26" s="64"/>
      <c r="R26" s="64"/>
      <c r="S26" s="64"/>
      <c r="T26" s="188"/>
      <c r="U26" s="600" t="s">
        <v>1395</v>
      </c>
      <c r="V26" s="619"/>
    </row>
    <row r="27" spans="1:26" ht="15.6">
      <c r="A27" s="188"/>
      <c r="B27" s="64"/>
      <c r="C27" s="64"/>
      <c r="D27" s="188"/>
      <c r="E27" s="363"/>
      <c r="F27" s="363"/>
      <c r="G27" s="364" t="s">
        <v>544</v>
      </c>
      <c r="H27" s="577"/>
      <c r="I27" s="363" t="s">
        <v>1396</v>
      </c>
      <c r="J27" s="350"/>
      <c r="K27" s="363" t="s">
        <v>367</v>
      </c>
      <c r="L27" s="680"/>
      <c r="M27" s="680"/>
      <c r="N27" s="188"/>
      <c r="O27" s="188"/>
      <c r="P27" s="64"/>
      <c r="Q27" s="64"/>
      <c r="R27" s="64"/>
      <c r="S27" s="64"/>
      <c r="T27" s="188"/>
      <c r="U27" s="600"/>
      <c r="V27" s="619"/>
    </row>
    <row r="28" spans="1:26" ht="15.6">
      <c r="A28" s="188"/>
      <c r="B28" s="64"/>
      <c r="C28" s="64"/>
      <c r="D28" s="188"/>
      <c r="E28" s="188"/>
      <c r="F28" s="188"/>
      <c r="G28" s="188"/>
      <c r="H28" s="188"/>
      <c r="I28" s="188"/>
      <c r="J28" s="188"/>
      <c r="K28" s="188"/>
      <c r="L28" s="188"/>
      <c r="M28" s="188"/>
      <c r="N28" s="188"/>
      <c r="O28" s="188"/>
      <c r="P28" s="64"/>
      <c r="Q28" s="64"/>
      <c r="R28" s="64"/>
      <c r="S28" s="220" t="s">
        <v>26</v>
      </c>
      <c r="T28" s="188"/>
      <c r="U28" s="600" t="s">
        <v>1397</v>
      </c>
      <c r="V28" s="617"/>
      <c r="W28" s="305"/>
    </row>
    <row r="29" spans="1:26" ht="15.6">
      <c r="A29" s="188"/>
      <c r="B29" s="229"/>
      <c r="C29" s="188"/>
      <c r="D29" s="188"/>
      <c r="E29" s="64"/>
      <c r="F29" s="64"/>
      <c r="G29" s="64"/>
      <c r="H29" s="64"/>
      <c r="I29" s="197"/>
      <c r="J29" s="198"/>
      <c r="K29" s="368" t="e">
        <f ca="1">MIN(M23,M26)</f>
        <v>#DIV/0!</v>
      </c>
      <c r="L29" s="188" t="s">
        <v>632</v>
      </c>
      <c r="M29" s="363"/>
      <c r="N29" s="350"/>
      <c r="O29" s="350"/>
      <c r="P29" s="680"/>
      <c r="Q29" s="348" t="s">
        <v>1398</v>
      </c>
      <c r="R29" s="199" t="s">
        <v>378</v>
      </c>
      <c r="S29" s="367" t="e">
        <f ca="1">IF(K30=0,K29,K30)</f>
        <v>#DIV/0!</v>
      </c>
      <c r="T29" s="188"/>
      <c r="U29" s="600" t="s">
        <v>1399</v>
      </c>
      <c r="V29" s="617"/>
    </row>
    <row r="30" spans="1:26" ht="15.6">
      <c r="A30" s="188"/>
      <c r="B30" s="188"/>
      <c r="C30" s="188"/>
      <c r="D30" s="188"/>
      <c r="E30" s="64"/>
      <c r="F30" s="64"/>
      <c r="G30" s="64"/>
      <c r="H30" s="64"/>
      <c r="I30" s="103" t="s">
        <v>573</v>
      </c>
      <c r="J30" s="47" t="s">
        <v>378</v>
      </c>
      <c r="K30" s="146"/>
      <c r="L30" s="188"/>
      <c r="M30" s="188"/>
      <c r="N30" s="188"/>
      <c r="O30" s="188"/>
      <c r="P30" s="353"/>
      <c r="Q30" s="348" t="s">
        <v>1400</v>
      </c>
      <c r="R30" s="188"/>
      <c r="S30" s="188"/>
      <c r="T30" s="188"/>
      <c r="U30" s="600"/>
      <c r="V30" s="617"/>
    </row>
    <row r="31" spans="1:26" ht="15.6">
      <c r="A31" s="188"/>
      <c r="B31" s="188"/>
      <c r="C31" s="188"/>
      <c r="D31" s="188"/>
      <c r="E31" s="1381" t="s">
        <v>1401</v>
      </c>
      <c r="F31" s="47"/>
      <c r="H31" s="188"/>
      <c r="I31" s="723"/>
      <c r="J31" s="188"/>
      <c r="K31" s="188"/>
      <c r="L31" s="188"/>
      <c r="M31" s="188"/>
      <c r="N31" s="188"/>
      <c r="O31" s="188"/>
      <c r="P31" s="353"/>
      <c r="Q31" s="1194"/>
      <c r="R31" s="188"/>
      <c r="S31" s="188"/>
      <c r="T31" s="188"/>
      <c r="U31" s="600"/>
      <c r="V31" s="617"/>
    </row>
    <row r="32" spans="1:26" ht="15.6">
      <c r="A32" s="188"/>
      <c r="B32" s="188"/>
      <c r="C32" s="188"/>
      <c r="D32" s="188"/>
      <c r="E32" s="103"/>
      <c r="F32" s="353" t="s">
        <v>535</v>
      </c>
      <c r="G32" s="354">
        <v>0.65</v>
      </c>
      <c r="H32" s="352" t="s">
        <v>536</v>
      </c>
      <c r="I32" s="1321">
        <f ca="1">E10*1000/SQRT(3)</f>
        <v>0</v>
      </c>
      <c r="J32" s="353" t="s">
        <v>537</v>
      </c>
      <c r="K32" s="217">
        <f ca="1">PTR</f>
        <v>0</v>
      </c>
      <c r="L32" s="351" t="s">
        <v>365</v>
      </c>
      <c r="M32" s="393" t="e">
        <f ca="1">ROUNDUP((G32*I32)/K32,1)</f>
        <v>#DIV/0!</v>
      </c>
      <c r="N32" s="680" t="s">
        <v>1402</v>
      </c>
      <c r="O32" s="188"/>
      <c r="P32" s="353"/>
      <c r="Q32" s="1194"/>
      <c r="R32" s="188"/>
      <c r="S32" s="188"/>
      <c r="T32" s="188"/>
      <c r="U32" s="600"/>
      <c r="V32" s="617"/>
    </row>
    <row r="33" spans="1:22" ht="15.6">
      <c r="A33" s="188"/>
      <c r="B33" s="188"/>
      <c r="C33" s="188"/>
      <c r="D33" s="188"/>
      <c r="E33" s="103"/>
      <c r="F33" s="363"/>
      <c r="G33" s="364" t="s">
        <v>544</v>
      </c>
      <c r="H33" s="577"/>
      <c r="I33" s="363" t="s">
        <v>1403</v>
      </c>
      <c r="J33" s="350"/>
      <c r="K33" s="363" t="s">
        <v>369</v>
      </c>
      <c r="L33" s="680"/>
      <c r="M33" s="680"/>
      <c r="N33" s="188"/>
      <c r="O33" s="188"/>
      <c r="P33" s="353"/>
      <c r="Q33" s="64"/>
      <c r="R33" s="64"/>
      <c r="S33" s="220" t="s">
        <v>26</v>
      </c>
      <c r="T33" s="188"/>
      <c r="U33" s="600"/>
      <c r="V33" s="617"/>
    </row>
    <row r="34" spans="1:22" ht="15.6">
      <c r="A34" s="188"/>
      <c r="B34" s="188"/>
      <c r="C34" s="188"/>
      <c r="D34" s="188"/>
      <c r="E34" s="103"/>
      <c r="F34" s="47"/>
      <c r="H34" s="188"/>
      <c r="I34" s="723"/>
      <c r="J34" s="188"/>
      <c r="K34" s="103" t="s">
        <v>573</v>
      </c>
      <c r="L34" s="47" t="s">
        <v>378</v>
      </c>
      <c r="M34" s="146"/>
      <c r="N34" s="188"/>
      <c r="O34" s="188"/>
      <c r="P34" s="353"/>
      <c r="Q34" s="348" t="s">
        <v>1404</v>
      </c>
      <c r="R34" s="199" t="s">
        <v>378</v>
      </c>
      <c r="S34" s="367" t="e">
        <f ca="1">IF(M34=0,M32,M34)</f>
        <v>#DIV/0!</v>
      </c>
      <c r="T34" s="188"/>
      <c r="U34" s="600" t="s">
        <v>1405</v>
      </c>
      <c r="V34" s="617"/>
    </row>
    <row r="35" spans="1:22" ht="15.6">
      <c r="A35" s="188"/>
      <c r="B35" s="188"/>
      <c r="C35" s="188"/>
      <c r="D35" s="188"/>
      <c r="E35" s="103"/>
      <c r="F35" s="47"/>
      <c r="H35" s="188"/>
      <c r="I35" s="723"/>
      <c r="J35" s="188"/>
      <c r="K35" s="188"/>
      <c r="L35" s="188"/>
      <c r="M35" s="188"/>
      <c r="N35" s="188"/>
      <c r="O35" s="188"/>
      <c r="P35" s="353"/>
      <c r="Q35" s="348" t="s">
        <v>1366</v>
      </c>
      <c r="R35" s="188"/>
      <c r="S35" s="188"/>
      <c r="T35" s="188"/>
      <c r="U35" s="600"/>
      <c r="V35" s="617"/>
    </row>
    <row r="36" spans="1:22" ht="15.6">
      <c r="A36" s="188"/>
      <c r="B36" s="188"/>
      <c r="C36" s="188"/>
      <c r="D36" s="188"/>
      <c r="E36" s="103"/>
      <c r="F36" s="47"/>
      <c r="H36" s="188"/>
      <c r="I36" s="723"/>
      <c r="J36" s="188"/>
      <c r="K36" s="188"/>
      <c r="L36" s="188"/>
      <c r="M36" s="188"/>
      <c r="N36" s="188"/>
      <c r="O36" s="188"/>
      <c r="P36" s="353"/>
      <c r="Q36" s="348" t="s">
        <v>1406</v>
      </c>
      <c r="R36" s="199" t="s">
        <v>378</v>
      </c>
      <c r="S36" s="367" t="e">
        <f ca="1">IF(M34=0,M32,M34)</f>
        <v>#DIV/0!</v>
      </c>
      <c r="T36" s="188"/>
      <c r="U36" s="600" t="s">
        <v>1407</v>
      </c>
      <c r="V36" s="617"/>
    </row>
    <row r="37" spans="1:22" ht="15.6">
      <c r="A37" s="188"/>
      <c r="B37" s="188"/>
      <c r="C37" s="188"/>
      <c r="D37" s="188"/>
      <c r="E37" s="103"/>
      <c r="F37" s="47"/>
      <c r="H37" s="188"/>
      <c r="I37" s="723"/>
      <c r="J37" s="188"/>
      <c r="K37" s="188"/>
      <c r="L37" s="188"/>
      <c r="M37" s="188"/>
      <c r="N37" s="188"/>
      <c r="O37" s="188"/>
      <c r="P37" s="353"/>
      <c r="Q37" s="348" t="s">
        <v>1408</v>
      </c>
      <c r="R37" s="188"/>
      <c r="S37" s="188"/>
      <c r="T37" s="188"/>
      <c r="U37" s="600"/>
      <c r="V37" s="617"/>
    </row>
    <row r="38" spans="1:22" ht="16.2" thickBot="1">
      <c r="A38" s="188"/>
      <c r="B38" s="188"/>
      <c r="C38" s="188"/>
      <c r="D38" s="188"/>
      <c r="E38" s="103"/>
      <c r="F38" s="47"/>
      <c r="H38" s="188"/>
      <c r="I38" s="723"/>
      <c r="J38" s="188"/>
      <c r="K38" s="188"/>
      <c r="L38" s="188"/>
      <c r="M38" s="188"/>
      <c r="N38" s="188"/>
      <c r="O38" s="188"/>
      <c r="P38" s="353"/>
      <c r="Q38" s="1194"/>
      <c r="R38" s="188"/>
      <c r="S38" s="188"/>
      <c r="T38" s="188"/>
      <c r="U38" s="600"/>
      <c r="V38" s="617"/>
    </row>
    <row r="39" spans="1:22" ht="15.6">
      <c r="A39" s="188"/>
      <c r="B39" s="188"/>
      <c r="C39" s="188"/>
      <c r="D39" s="188"/>
      <c r="E39" s="103"/>
      <c r="F39" s="47"/>
      <c r="H39" s="188"/>
      <c r="I39" s="723"/>
      <c r="J39" s="188"/>
      <c r="K39" s="188"/>
      <c r="L39" s="188"/>
      <c r="M39" s="188"/>
      <c r="N39" s="188"/>
      <c r="P39" s="323" t="s">
        <v>1409</v>
      </c>
      <c r="Q39" s="1993" t="str">
        <f>"VAFIM &lt; PMV13 OR VBFIM &lt; PMV13 OR VCFIM &lt; PMV13 #SOTF 50 SUPV 65% NOM"</f>
        <v>VAFIM &lt; PMV13 OR VBFIM &lt; PMV13 OR VCFIM &lt; PMV13 #SOTF 50 SUPV 65% NOM</v>
      </c>
      <c r="R39" s="1994"/>
      <c r="S39" s="1994"/>
      <c r="T39" s="1995"/>
      <c r="U39" s="600" t="s">
        <v>1410</v>
      </c>
      <c r="V39" s="617"/>
    </row>
    <row r="40" spans="1:22" ht="27.75" customHeight="1" thickBot="1">
      <c r="A40" s="188"/>
      <c r="B40" s="188"/>
      <c r="C40" s="188"/>
      <c r="D40" s="188"/>
      <c r="E40" s="103"/>
      <c r="F40" s="47"/>
      <c r="H40" s="188"/>
      <c r="I40" s="723"/>
      <c r="J40" s="188"/>
      <c r="K40" s="188"/>
      <c r="L40" s="188"/>
      <c r="M40" s="188"/>
      <c r="N40" s="188"/>
      <c r="P40" s="670" t="s">
        <v>946</v>
      </c>
      <c r="Q40" s="1996"/>
      <c r="R40" s="1997"/>
      <c r="S40" s="1997"/>
      <c r="T40" s="1998"/>
      <c r="U40" s="600"/>
      <c r="V40" s="617"/>
    </row>
    <row r="41" spans="1:22" ht="16.2" thickBot="1">
      <c r="A41" s="188"/>
      <c r="B41" s="188"/>
      <c r="C41" s="188"/>
      <c r="D41" s="188"/>
      <c r="E41" s="103"/>
      <c r="F41" s="47"/>
      <c r="H41" s="188"/>
      <c r="I41" s="723"/>
      <c r="J41" s="188"/>
      <c r="K41" s="188"/>
      <c r="L41" s="188"/>
      <c r="M41" s="188"/>
      <c r="N41" s="188"/>
      <c r="O41" s="188"/>
      <c r="P41" s="353"/>
      <c r="Q41" s="1194"/>
      <c r="R41" s="188"/>
      <c r="S41" s="188"/>
      <c r="T41" s="188"/>
      <c r="U41" s="600"/>
      <c r="V41" s="617"/>
    </row>
    <row r="42" spans="1:22" ht="15.6">
      <c r="A42" s="188"/>
      <c r="B42" s="188"/>
      <c r="C42" s="188"/>
      <c r="D42" s="188"/>
      <c r="E42" s="103"/>
      <c r="F42" s="47"/>
      <c r="H42" s="188"/>
      <c r="I42" s="723"/>
      <c r="J42" s="188"/>
      <c r="K42" s="188"/>
      <c r="L42" s="188"/>
      <c r="M42" s="188"/>
      <c r="N42" s="188"/>
      <c r="O42" s="188"/>
      <c r="P42" s="348" t="s">
        <v>1411</v>
      </c>
      <c r="Q42" s="1999" t="s">
        <v>1412</v>
      </c>
      <c r="R42" s="2000"/>
      <c r="S42" s="2000"/>
      <c r="T42" s="2001"/>
      <c r="U42" s="600" t="s">
        <v>1413</v>
      </c>
      <c r="V42" s="617"/>
    </row>
    <row r="43" spans="1:22" ht="16.2" thickBot="1">
      <c r="A43" s="188"/>
      <c r="B43" s="188"/>
      <c r="C43" s="188"/>
      <c r="D43" s="188"/>
      <c r="E43" s="103"/>
      <c r="F43" s="47"/>
      <c r="H43" s="188"/>
      <c r="I43" s="723"/>
      <c r="J43" s="188"/>
      <c r="K43" s="188"/>
      <c r="L43" s="188"/>
      <c r="M43" s="188"/>
      <c r="N43" s="188"/>
      <c r="O43" s="188"/>
      <c r="P43" s="348" t="s">
        <v>1408</v>
      </c>
      <c r="Q43" s="2002"/>
      <c r="R43" s="2003"/>
      <c r="S43" s="2003"/>
      <c r="T43" s="2004"/>
      <c r="U43" s="600"/>
      <c r="V43" s="617"/>
    </row>
    <row r="44" spans="1:22" ht="15.6">
      <c r="A44" s="188"/>
      <c r="B44" s="188"/>
      <c r="C44" s="188"/>
      <c r="D44" s="188"/>
      <c r="E44" s="103"/>
      <c r="F44" s="47"/>
      <c r="H44" s="188"/>
      <c r="I44" s="723"/>
      <c r="J44" s="188"/>
      <c r="K44" s="188"/>
      <c r="L44" s="188"/>
      <c r="M44" s="188"/>
      <c r="N44" s="188"/>
      <c r="O44" s="188"/>
      <c r="P44" s="353"/>
      <c r="Q44" s="1194"/>
      <c r="R44" s="188"/>
      <c r="S44" s="188"/>
      <c r="T44" s="188"/>
      <c r="U44" s="600"/>
      <c r="V44" s="617"/>
    </row>
    <row r="45" spans="1:22" ht="15.6">
      <c r="A45" s="188"/>
      <c r="B45" s="723" t="s">
        <v>1414</v>
      </c>
      <c r="C45" s="188"/>
      <c r="D45" s="188"/>
      <c r="E45" s="103"/>
      <c r="F45" s="47"/>
      <c r="H45" s="188"/>
      <c r="I45" s="723"/>
      <c r="J45" s="188"/>
      <c r="K45" s="188"/>
      <c r="L45" s="188"/>
      <c r="M45" s="365"/>
      <c r="N45" s="188"/>
      <c r="O45" s="188"/>
      <c r="P45" s="348" t="s">
        <v>1415</v>
      </c>
      <c r="Q45" s="367">
        <v>2</v>
      </c>
      <c r="R45" s="188"/>
      <c r="S45" s="680" t="s">
        <v>1242</v>
      </c>
      <c r="T45" s="188"/>
      <c r="U45" s="600" t="s">
        <v>1416</v>
      </c>
      <c r="V45" s="617"/>
    </row>
    <row r="46" spans="1:22" ht="15.6">
      <c r="A46" s="188"/>
      <c r="B46" s="723" t="s">
        <v>1417</v>
      </c>
      <c r="C46" s="188"/>
      <c r="D46" s="188"/>
      <c r="E46" s="103"/>
      <c r="F46" s="47"/>
      <c r="H46" s="188"/>
      <c r="I46" s="723"/>
      <c r="J46" s="188"/>
      <c r="K46" s="188"/>
      <c r="L46" s="188"/>
      <c r="M46" s="188"/>
      <c r="N46" s="188"/>
      <c r="O46" s="188"/>
      <c r="P46" s="348" t="s">
        <v>1400</v>
      </c>
      <c r="Q46" s="1194"/>
      <c r="R46" s="188"/>
      <c r="S46" s="188"/>
      <c r="T46" s="188"/>
      <c r="U46" s="600"/>
      <c r="V46" s="617"/>
    </row>
    <row r="47" spans="1:22" ht="15.6">
      <c r="A47" s="188"/>
      <c r="B47" s="188"/>
      <c r="C47" s="188"/>
      <c r="D47" s="188"/>
      <c r="E47" s="103"/>
      <c r="F47" s="47"/>
      <c r="H47" s="188"/>
      <c r="I47" s="723"/>
      <c r="J47" s="188"/>
      <c r="K47" s="188"/>
      <c r="L47" s="188"/>
      <c r="M47" s="188"/>
      <c r="N47" s="188"/>
      <c r="O47" s="188"/>
      <c r="P47" s="353"/>
      <c r="Q47" s="1194"/>
      <c r="R47" s="188"/>
      <c r="S47" s="188"/>
      <c r="T47" s="188"/>
      <c r="U47" s="600"/>
      <c r="V47" s="617"/>
    </row>
    <row r="48" spans="1:22" ht="15.6">
      <c r="A48" s="188"/>
      <c r="B48" s="670" t="s">
        <v>1418</v>
      </c>
      <c r="C48" s="188"/>
      <c r="D48" s="188"/>
      <c r="E48" s="103"/>
      <c r="F48" s="47"/>
      <c r="H48" s="188"/>
      <c r="I48" s="723"/>
      <c r="J48" s="188"/>
      <c r="K48" s="188"/>
      <c r="L48" s="188"/>
      <c r="M48" s="188"/>
      <c r="N48" s="188"/>
      <c r="O48" s="188"/>
      <c r="P48" s="353"/>
      <c r="Q48" s="1194"/>
      <c r="R48" s="188"/>
      <c r="S48" s="188"/>
      <c r="T48" s="188"/>
      <c r="U48" s="600"/>
      <c r="V48" s="617"/>
    </row>
    <row r="49" spans="1:22" ht="15.6">
      <c r="A49" s="188"/>
      <c r="B49" s="861" t="s">
        <v>1419</v>
      </c>
      <c r="C49" s="840"/>
      <c r="D49" s="840"/>
      <c r="E49" s="862"/>
      <c r="F49" s="863"/>
      <c r="G49" s="864"/>
      <c r="H49" s="840"/>
      <c r="I49" s="861"/>
      <c r="J49" s="840"/>
      <c r="K49" s="840"/>
      <c r="L49" s="840"/>
      <c r="M49" s="840"/>
      <c r="N49" s="840"/>
      <c r="O49" s="840"/>
      <c r="P49" s="353"/>
      <c r="Q49" s="1194"/>
      <c r="R49" s="188"/>
      <c r="S49" s="188"/>
      <c r="T49" s="188"/>
      <c r="U49" s="600"/>
      <c r="V49" s="617"/>
    </row>
    <row r="50" spans="1:22" ht="15.6">
      <c r="A50" s="188"/>
      <c r="B50" s="723" t="s">
        <v>1420</v>
      </c>
      <c r="C50" s="188"/>
      <c r="D50" s="188"/>
      <c r="E50" s="103"/>
      <c r="F50" s="47"/>
      <c r="H50" s="188"/>
      <c r="I50" s="723"/>
      <c r="J50" s="188"/>
      <c r="K50" s="188"/>
      <c r="L50" s="188"/>
      <c r="M50" s="188"/>
      <c r="N50" s="188"/>
      <c r="O50" s="188"/>
      <c r="P50" s="353"/>
      <c r="Q50" s="1194"/>
      <c r="R50" s="188"/>
      <c r="S50" s="188"/>
      <c r="T50" s="188"/>
      <c r="U50" s="600"/>
      <c r="V50" s="617"/>
    </row>
    <row r="51" spans="1:22" ht="15.6">
      <c r="A51" s="188"/>
      <c r="B51" s="188"/>
      <c r="C51" s="188"/>
      <c r="D51" s="188"/>
      <c r="E51" s="103"/>
      <c r="F51" s="47"/>
      <c r="H51" s="188"/>
      <c r="I51" s="723"/>
      <c r="J51" s="188"/>
      <c r="K51" s="188"/>
      <c r="L51" s="188"/>
      <c r="M51" s="188"/>
      <c r="N51" s="188"/>
      <c r="O51" s="188"/>
      <c r="P51" s="353"/>
      <c r="Q51" s="1194"/>
      <c r="R51" s="188"/>
      <c r="S51" s="188"/>
      <c r="T51" s="188"/>
      <c r="U51" s="600"/>
      <c r="V51" s="617"/>
    </row>
    <row r="52" spans="1:22" ht="15.6">
      <c r="A52" s="188"/>
      <c r="B52" s="1786" t="s">
        <v>1421</v>
      </c>
      <c r="C52" s="1786"/>
      <c r="D52" s="1786"/>
      <c r="E52" s="1786"/>
      <c r="F52" s="353" t="s">
        <v>535</v>
      </c>
      <c r="G52" s="354">
        <v>2.5</v>
      </c>
      <c r="H52" s="352" t="s">
        <v>536</v>
      </c>
      <c r="I52" s="1321">
        <f ca="1">$E$6</f>
        <v>0</v>
      </c>
      <c r="J52" s="353" t="s">
        <v>537</v>
      </c>
      <c r="K52" s="217">
        <f ca="1">_CTR_per_1</f>
        <v>0</v>
      </c>
      <c r="L52" s="351" t="s">
        <v>365</v>
      </c>
      <c r="M52" s="393" t="e">
        <f ca="1">(G52*I52)/K52</f>
        <v>#DIV/0!</v>
      </c>
      <c r="N52" s="188" t="s">
        <v>632</v>
      </c>
      <c r="O52" s="188"/>
      <c r="P52" s="64"/>
      <c r="Q52" s="64"/>
      <c r="R52" s="64"/>
      <c r="S52" s="64"/>
      <c r="T52" s="188"/>
      <c r="U52" s="600" t="s">
        <v>1422</v>
      </c>
      <c r="V52" s="617"/>
    </row>
    <row r="53" spans="1:22" ht="15.6">
      <c r="A53" s="188"/>
      <c r="B53" s="64"/>
      <c r="C53" s="64"/>
      <c r="D53" s="188"/>
      <c r="E53" s="363"/>
      <c r="F53" s="363"/>
      <c r="G53" s="364" t="s">
        <v>544</v>
      </c>
      <c r="H53" s="577"/>
      <c r="I53" s="363" t="s">
        <v>549</v>
      </c>
      <c r="J53" s="350"/>
      <c r="K53" s="363" t="s">
        <v>367</v>
      </c>
      <c r="L53" s="680"/>
      <c r="M53" s="680"/>
      <c r="N53" s="188"/>
      <c r="O53" s="188"/>
      <c r="P53" s="64"/>
      <c r="Q53" s="64"/>
      <c r="R53" s="64"/>
      <c r="S53" s="64"/>
      <c r="T53" s="188"/>
      <c r="U53" s="600"/>
      <c r="V53" s="619"/>
    </row>
    <row r="54" spans="1:22" ht="15.6">
      <c r="A54" s="188"/>
      <c r="B54" s="64"/>
      <c r="C54" s="64"/>
      <c r="D54" s="188"/>
      <c r="E54" s="64"/>
      <c r="F54" s="64"/>
      <c r="G54" s="64"/>
      <c r="H54" s="64"/>
      <c r="I54" s="188"/>
      <c r="J54" s="188"/>
      <c r="K54" s="188"/>
      <c r="L54" s="188"/>
      <c r="M54" s="188"/>
      <c r="N54" s="188"/>
      <c r="O54" s="188"/>
      <c r="P54" s="64"/>
      <c r="Q54" s="64"/>
      <c r="R54" s="64"/>
      <c r="S54" s="220" t="s">
        <v>26</v>
      </c>
      <c r="T54" s="188"/>
      <c r="U54" s="600" t="s">
        <v>1423</v>
      </c>
      <c r="V54" s="617"/>
    </row>
    <row r="55" spans="1:22" ht="15.6">
      <c r="A55" s="188"/>
      <c r="B55" s="229"/>
      <c r="C55" s="188"/>
      <c r="D55" s="188"/>
      <c r="E55" s="64"/>
      <c r="F55" s="64"/>
      <c r="G55" s="64"/>
      <c r="H55" s="64"/>
      <c r="I55" s="197"/>
      <c r="J55" s="198"/>
      <c r="K55" s="368" t="e">
        <f ca="1">M52</f>
        <v>#DIV/0!</v>
      </c>
      <c r="L55" s="188" t="s">
        <v>632</v>
      </c>
      <c r="M55" s="363"/>
      <c r="N55" s="350"/>
      <c r="O55" s="350"/>
      <c r="P55" s="680"/>
      <c r="Q55" s="348" t="s">
        <v>1424</v>
      </c>
      <c r="R55" s="199" t="s">
        <v>378</v>
      </c>
      <c r="S55" s="367" t="e">
        <f ca="1">IF(K56=0,K55,K56)</f>
        <v>#DIV/0!</v>
      </c>
      <c r="T55" s="188"/>
      <c r="U55" s="600" t="s">
        <v>1425</v>
      </c>
      <c r="V55" s="617"/>
    </row>
    <row r="56" spans="1:22" ht="15.6">
      <c r="A56" s="188"/>
      <c r="B56" s="188"/>
      <c r="C56" s="188"/>
      <c r="D56" s="188"/>
      <c r="E56" s="64"/>
      <c r="F56" s="64"/>
      <c r="G56" s="64"/>
      <c r="H56" s="64"/>
      <c r="I56" s="103" t="s">
        <v>573</v>
      </c>
      <c r="J56" s="47" t="s">
        <v>378</v>
      </c>
      <c r="K56" s="146"/>
      <c r="L56" s="188"/>
      <c r="M56" s="188"/>
      <c r="N56" s="188"/>
      <c r="O56" s="188"/>
      <c r="P56" s="353"/>
      <c r="Q56" s="348" t="s">
        <v>1426</v>
      </c>
      <c r="R56" s="188"/>
      <c r="S56" s="188"/>
      <c r="T56" s="188"/>
      <c r="U56" s="600"/>
      <c r="V56" s="617"/>
    </row>
    <row r="57" spans="1:22" ht="15.6">
      <c r="A57" s="188"/>
      <c r="B57" s="188"/>
      <c r="C57" s="188"/>
      <c r="D57" s="188"/>
      <c r="E57" s="214"/>
      <c r="F57" s="188"/>
      <c r="G57" s="188"/>
      <c r="H57" s="188"/>
      <c r="I57" s="188"/>
      <c r="J57" s="188"/>
      <c r="K57" s="188"/>
      <c r="L57" s="188"/>
      <c r="M57" s="188"/>
      <c r="N57" s="188"/>
      <c r="O57" s="188"/>
      <c r="P57" s="188"/>
      <c r="Q57" s="188"/>
      <c r="R57" s="218"/>
      <c r="S57" s="218"/>
      <c r="T57" s="188"/>
      <c r="U57" s="600"/>
      <c r="V57" s="617"/>
    </row>
    <row r="84" spans="29:29">
      <c r="AC84" s="670" t="s">
        <v>1384</v>
      </c>
    </row>
    <row r="85" spans="29:29">
      <c r="AC85">
        <v>0</v>
      </c>
    </row>
    <row r="86" spans="29:29">
      <c r="AC86">
        <v>1</v>
      </c>
    </row>
  </sheetData>
  <sheetProtection algorithmName="SHA-512" hashValue="CDaapLxb00tCrvsj5VhSRbbMvSvFqrJ0dBsSwQwVoGxD+QITgmPcU+tk6Jguzkgqv/pChMALgdt6+oSYRJD24w==" saltValue="0yc6LOF9g6w6V1MIeIejEA==" spinCount="100000" sheet="1" objects="1" scenarios="1"/>
  <dataConsolidate/>
  <mergeCells count="4">
    <mergeCell ref="Q39:T40"/>
    <mergeCell ref="Q42:T43"/>
    <mergeCell ref="B52:E52"/>
    <mergeCell ref="K6:S13"/>
  </mergeCells>
  <pageMargins left="0.7" right="0.7" top="0.75" bottom="0.75" header="0.3" footer="0.3"/>
  <pageSetup paperSize="17" scale="73" orientation="landscape" r:id="rId1"/>
  <headerFooter>
    <oddFooter>&amp;R&amp;F
Tab: &amp;A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G481"/>
  <sheetViews>
    <sheetView showGridLines="0" topLeftCell="A137" zoomScale="115" zoomScaleNormal="115" zoomScaleSheetLayoutView="100" workbookViewId="0">
      <selection activeCell="AA52" sqref="E52:AA55"/>
    </sheetView>
  </sheetViews>
  <sheetFormatPr defaultColWidth="9.109375" defaultRowHeight="13.2"/>
  <cols>
    <col min="1" max="18" width="4.88671875" style="527" customWidth="1"/>
    <col min="19" max="19" width="7" style="527" customWidth="1"/>
    <col min="20" max="20" width="4.88671875" style="527" customWidth="1"/>
    <col min="21" max="21" width="6.109375" style="527" customWidth="1"/>
    <col min="22" max="22" width="5.33203125" style="527" customWidth="1"/>
    <col min="23" max="23" width="6.5546875" style="527" customWidth="1"/>
    <col min="24" max="24" width="6.109375" style="527" customWidth="1"/>
    <col min="25" max="25" width="6.5546875" style="527" customWidth="1"/>
    <col min="26" max="29" width="4.88671875" style="527" customWidth="1"/>
    <col min="30" max="30" width="6.44140625" style="606" bestFit="1" customWidth="1"/>
    <col min="31" max="33" width="4.88671875" style="527" customWidth="1"/>
    <col min="34" max="16384" width="9.109375" style="527"/>
  </cols>
  <sheetData>
    <row r="1" spans="1:55" ht="17.100000000000001" customHeight="1">
      <c r="A1" s="819"/>
      <c r="B1" s="819"/>
      <c r="C1" s="819"/>
      <c r="D1" s="819"/>
      <c r="E1" s="819"/>
      <c r="F1" s="819"/>
      <c r="G1" s="819"/>
      <c r="H1" s="819"/>
      <c r="I1" s="819"/>
      <c r="J1" s="819"/>
      <c r="K1" s="819"/>
      <c r="L1" s="819"/>
      <c r="M1" s="819"/>
      <c r="N1" s="819"/>
      <c r="O1" s="819"/>
      <c r="P1" s="819"/>
      <c r="Q1" s="819"/>
      <c r="R1" s="819"/>
      <c r="S1" s="819"/>
      <c r="T1" s="819"/>
      <c r="U1" s="819"/>
      <c r="V1" s="819"/>
      <c r="W1" s="819"/>
      <c r="X1" s="819"/>
      <c r="Y1" s="819"/>
      <c r="Z1" s="819"/>
      <c r="AA1" s="819"/>
      <c r="AB1" s="819"/>
      <c r="AC1" s="819"/>
      <c r="AE1" s="819"/>
      <c r="AF1" s="819"/>
      <c r="AG1" s="819"/>
      <c r="AH1" s="819"/>
      <c r="AI1" s="819"/>
      <c r="AJ1" s="819"/>
      <c r="AK1" s="819"/>
      <c r="AL1" s="819"/>
      <c r="AM1" s="819"/>
      <c r="AN1" s="819"/>
      <c r="AO1" s="819"/>
      <c r="AP1" s="819"/>
      <c r="AQ1" s="819"/>
      <c r="AR1" s="819"/>
      <c r="AS1" s="819"/>
      <c r="AT1" s="819"/>
      <c r="AU1" s="819"/>
      <c r="AV1" s="819"/>
      <c r="AW1" s="819"/>
      <c r="AX1" s="819"/>
      <c r="AY1" s="819"/>
      <c r="AZ1" s="819"/>
      <c r="BA1" s="819"/>
      <c r="BB1" s="819"/>
      <c r="BC1" s="819"/>
    </row>
    <row r="2" spans="1:55" ht="17.100000000000001" customHeight="1">
      <c r="A2" s="2083" t="s">
        <v>1427</v>
      </c>
      <c r="B2" s="2083"/>
      <c r="C2" s="2083"/>
      <c r="D2" s="2083"/>
      <c r="E2" s="2083"/>
      <c r="F2" s="2083"/>
      <c r="G2" s="2083"/>
      <c r="H2" s="2083"/>
      <c r="I2" s="2083"/>
      <c r="J2" s="2083"/>
      <c r="K2" s="2083"/>
      <c r="L2" s="2083"/>
      <c r="M2" s="2083"/>
      <c r="N2" s="2083"/>
      <c r="O2" s="2083"/>
      <c r="P2" s="2083"/>
      <c r="Q2" s="2083"/>
      <c r="R2" s="2083"/>
      <c r="S2" s="2083"/>
      <c r="T2" s="2083"/>
      <c r="U2" s="2083"/>
      <c r="V2" s="2083"/>
      <c r="W2" s="2083"/>
      <c r="X2" s="2083"/>
      <c r="Y2" s="2083"/>
      <c r="Z2" s="2083"/>
      <c r="AA2" s="2083"/>
      <c r="AB2" s="2083"/>
      <c r="AC2" s="528"/>
      <c r="AD2" s="609"/>
      <c r="AE2" s="529"/>
      <c r="AF2" s="529"/>
      <c r="AG2" s="529"/>
      <c r="AH2" s="529"/>
      <c r="AI2" s="529"/>
      <c r="AJ2" s="529"/>
      <c r="AK2" s="529"/>
      <c r="AL2" s="529"/>
      <c r="AM2" s="529"/>
      <c r="AN2" s="529"/>
      <c r="AO2" s="529"/>
      <c r="AP2" s="529"/>
      <c r="AQ2" s="529"/>
      <c r="AR2" s="529"/>
      <c r="AS2" s="529"/>
      <c r="AT2" s="529"/>
      <c r="AU2" s="529"/>
      <c r="AV2" s="529"/>
      <c r="AW2" s="529"/>
      <c r="AX2" s="529"/>
      <c r="AY2" s="529"/>
      <c r="AZ2" s="819"/>
      <c r="BA2" s="819"/>
      <c r="BB2" s="819"/>
      <c r="BC2" s="819"/>
    </row>
    <row r="3" spans="1:55" ht="17.100000000000001" customHeight="1">
      <c r="A3" s="530"/>
      <c r="B3" s="530"/>
      <c r="C3" s="819"/>
      <c r="D3" s="819"/>
      <c r="E3" s="819"/>
      <c r="F3" s="819"/>
      <c r="G3" s="819"/>
      <c r="H3" s="819"/>
      <c r="I3" s="530"/>
      <c r="J3" s="530"/>
      <c r="K3" s="530"/>
      <c r="L3" s="530"/>
      <c r="M3" s="530"/>
      <c r="N3" s="530"/>
      <c r="O3" s="530"/>
      <c r="P3" s="530"/>
      <c r="Q3" s="530"/>
      <c r="R3" s="530"/>
      <c r="S3" s="530"/>
      <c r="T3" s="530"/>
      <c r="U3" s="530"/>
      <c r="V3" s="530"/>
      <c r="W3" s="530"/>
      <c r="X3" s="530"/>
      <c r="Y3" s="530"/>
      <c r="Z3" s="530"/>
      <c r="AA3" s="530"/>
      <c r="AB3" s="530"/>
      <c r="AC3" s="819"/>
      <c r="AE3" s="819"/>
      <c r="AF3" s="819"/>
      <c r="AG3" s="819"/>
      <c r="AH3" s="819"/>
      <c r="AI3" s="819"/>
      <c r="AJ3" s="819"/>
      <c r="AK3" s="819"/>
      <c r="AL3" s="819"/>
      <c r="AM3" s="819"/>
      <c r="AN3" s="819"/>
      <c r="AO3" s="819"/>
      <c r="AP3" s="819"/>
      <c r="AQ3" s="819"/>
      <c r="AR3" s="819"/>
      <c r="AS3" s="819"/>
      <c r="AT3" s="819"/>
      <c r="AU3" s="819"/>
      <c r="AV3" s="819"/>
      <c r="AW3" s="819"/>
      <c r="AX3" s="819"/>
      <c r="AY3" s="819"/>
      <c r="AZ3" s="819"/>
      <c r="BA3" s="819"/>
      <c r="BB3" s="819"/>
      <c r="BC3" s="819"/>
    </row>
    <row r="4" spans="1:55" ht="17.100000000000001" customHeight="1">
      <c r="A4" s="1322"/>
      <c r="B4" s="1322"/>
      <c r="C4" s="1322"/>
      <c r="D4" s="532"/>
      <c r="E4" s="819"/>
      <c r="F4" s="819"/>
      <c r="G4" s="2008"/>
      <c r="H4" s="2008"/>
      <c r="I4" s="1322"/>
      <c r="J4" s="2084" t="s">
        <v>1428</v>
      </c>
      <c r="K4" s="2084"/>
      <c r="L4" s="2084"/>
      <c r="M4" s="2085">
        <v>47115</v>
      </c>
      <c r="N4" s="2086"/>
      <c r="O4" s="2086"/>
      <c r="P4" s="2086"/>
      <c r="Q4" s="2087"/>
      <c r="R4" s="1322"/>
      <c r="S4" s="1322"/>
      <c r="T4" s="1322"/>
      <c r="U4" s="1322"/>
      <c r="V4" s="1322"/>
      <c r="W4" s="1322"/>
      <c r="X4" s="1322"/>
      <c r="Y4" s="1322"/>
      <c r="Z4" s="1322"/>
      <c r="AA4" s="1322"/>
      <c r="AB4" s="1322"/>
      <c r="AC4" s="531"/>
      <c r="AE4" s="819"/>
      <c r="AF4" s="819"/>
      <c r="AG4" s="819"/>
      <c r="AH4" s="819"/>
      <c r="AI4" s="819"/>
      <c r="AJ4" s="819"/>
      <c r="AK4" s="819"/>
      <c r="AL4" s="819"/>
      <c r="AM4" s="819"/>
      <c r="AN4" s="819"/>
      <c r="AO4" s="819"/>
      <c r="AP4" s="819"/>
      <c r="AQ4" s="819"/>
      <c r="AR4" s="819"/>
      <c r="AS4" s="819"/>
      <c r="AT4" s="819"/>
      <c r="AU4" s="819"/>
      <c r="AV4" s="819"/>
      <c r="AW4" s="819"/>
      <c r="AX4" s="819"/>
      <c r="AY4" s="819"/>
      <c r="AZ4" s="819"/>
      <c r="BB4" s="819"/>
      <c r="BC4" s="819"/>
    </row>
    <row r="5" spans="1:55" ht="16.5" customHeight="1" thickBot="1">
      <c r="A5" s="1323"/>
      <c r="B5" s="1323"/>
      <c r="C5" s="1323"/>
      <c r="D5" s="1323"/>
      <c r="E5" s="1323"/>
      <c r="F5" s="1323"/>
      <c r="G5" s="1323"/>
      <c r="H5" s="1323"/>
      <c r="I5" s="1323"/>
      <c r="J5" s="1323"/>
      <c r="K5" s="1323"/>
      <c r="L5" s="1323"/>
      <c r="M5" s="1323"/>
      <c r="N5" s="1323"/>
      <c r="O5" s="1323"/>
      <c r="P5" s="1323"/>
      <c r="Q5" s="1323"/>
      <c r="R5" s="1323"/>
      <c r="S5" s="1323"/>
      <c r="T5" s="1323"/>
      <c r="U5" s="1323"/>
      <c r="V5" s="1323"/>
      <c r="W5" s="1323"/>
      <c r="X5" s="1323"/>
      <c r="Y5" s="1323"/>
      <c r="Z5" s="1323"/>
      <c r="AA5" s="1323"/>
      <c r="AB5" s="1323"/>
      <c r="AC5" s="819"/>
      <c r="AE5" s="819"/>
      <c r="AF5" s="819"/>
      <c r="AG5" s="819"/>
      <c r="AH5" s="819"/>
      <c r="AI5" s="819"/>
      <c r="AJ5" s="819"/>
      <c r="AK5" s="819"/>
      <c r="AL5" s="819"/>
      <c r="AM5" s="819"/>
      <c r="AN5" s="819"/>
      <c r="AO5" s="819"/>
      <c r="AP5" s="819"/>
      <c r="AQ5" s="819"/>
      <c r="AR5" s="819"/>
      <c r="AS5" s="819"/>
      <c r="AT5" s="819"/>
      <c r="AU5" s="819"/>
      <c r="AV5" s="819"/>
      <c r="AW5" s="819"/>
      <c r="AX5" s="819"/>
      <c r="AY5" s="819"/>
      <c r="BA5" s="819"/>
      <c r="BB5" s="819"/>
      <c r="BC5" s="819"/>
    </row>
    <row r="6" spans="1:55" ht="17.100000000000001" customHeight="1" thickTop="1">
      <c r="A6" s="1324"/>
      <c r="B6" s="1324"/>
      <c r="C6" s="1324"/>
      <c r="D6" s="1324"/>
      <c r="E6" s="1324"/>
      <c r="F6" s="1324"/>
      <c r="G6" s="1324"/>
      <c r="H6" s="1324"/>
      <c r="I6" s="1324"/>
      <c r="J6" s="1324"/>
      <c r="K6" s="1324"/>
      <c r="L6" s="1324"/>
      <c r="M6" s="1324"/>
      <c r="N6" s="1324"/>
      <c r="O6" s="1324"/>
      <c r="P6" s="1324"/>
      <c r="Q6" s="1324"/>
      <c r="R6" s="1324"/>
      <c r="S6" s="819"/>
      <c r="T6" s="819"/>
      <c r="U6" s="819"/>
      <c r="V6" s="819"/>
      <c r="W6" s="819"/>
      <c r="X6" s="819"/>
      <c r="Y6" s="819"/>
      <c r="Z6" s="819"/>
      <c r="AA6" s="819"/>
      <c r="AB6" s="819"/>
      <c r="AE6" s="819"/>
      <c r="AF6" s="819"/>
      <c r="AG6" s="819"/>
      <c r="AH6" s="819"/>
      <c r="AI6" s="819"/>
      <c r="AJ6" s="819"/>
      <c r="AK6" s="819"/>
      <c r="AL6" s="819"/>
      <c r="AM6" s="819"/>
      <c r="AN6" s="819"/>
      <c r="AO6" s="819"/>
      <c r="AP6" s="819"/>
      <c r="AQ6" s="819"/>
      <c r="AR6" s="819"/>
      <c r="AS6" s="819"/>
      <c r="AT6" s="819"/>
      <c r="AU6" s="819"/>
      <c r="AV6" s="819"/>
      <c r="AW6" s="819"/>
      <c r="AX6" s="819"/>
      <c r="AY6" s="819"/>
      <c r="AZ6" s="819"/>
      <c r="BB6" s="819"/>
      <c r="BC6" s="819"/>
    </row>
    <row r="7" spans="1:55" ht="16.5" customHeight="1">
      <c r="A7" s="2037" t="s">
        <v>1429</v>
      </c>
      <c r="B7" s="2037"/>
      <c r="C7" s="2037"/>
      <c r="D7" s="2037"/>
      <c r="E7" s="2037"/>
      <c r="F7" s="2037"/>
      <c r="G7" s="2037"/>
      <c r="H7" s="2037"/>
      <c r="I7" s="2037"/>
      <c r="J7" s="2037"/>
      <c r="K7" s="2037"/>
      <c r="L7" s="2037"/>
      <c r="M7" s="2037"/>
      <c r="N7" s="2037"/>
      <c r="O7" s="2037"/>
      <c r="P7" s="2037"/>
      <c r="Q7" s="790" t="s">
        <v>1430</v>
      </c>
      <c r="R7" s="1325"/>
      <c r="S7" s="1325"/>
      <c r="T7" s="1325"/>
      <c r="U7" s="1325"/>
      <c r="V7" s="1325"/>
      <c r="W7" s="1325"/>
      <c r="X7" s="1325"/>
      <c r="Y7" s="1325"/>
      <c r="Z7" s="1325"/>
      <c r="AA7" s="1325"/>
      <c r="AB7" s="1325"/>
      <c r="AC7" s="819"/>
      <c r="AD7" s="609"/>
      <c r="AF7" s="819"/>
      <c r="AG7" s="819"/>
      <c r="AH7" s="819"/>
      <c r="AI7" s="819"/>
      <c r="AJ7" s="819"/>
      <c r="AK7" s="819"/>
      <c r="AL7" s="819"/>
      <c r="AM7" s="819"/>
      <c r="AN7" s="819"/>
      <c r="AO7" s="819"/>
      <c r="AP7" s="819"/>
      <c r="AQ7" s="819"/>
      <c r="AR7" s="819"/>
      <c r="AS7" s="819"/>
      <c r="AT7" s="819"/>
      <c r="AU7" s="819"/>
      <c r="AV7" s="819"/>
      <c r="AW7" s="819"/>
      <c r="AX7" s="819"/>
      <c r="AY7" s="819"/>
      <c r="AZ7" s="819"/>
      <c r="BA7" s="819"/>
      <c r="BB7" s="819"/>
    </row>
    <row r="8" spans="1:55" ht="17.100000000000001" customHeight="1">
      <c r="Q8" s="1000" t="s">
        <v>1431</v>
      </c>
      <c r="R8" s="1000"/>
      <c r="S8" s="1000"/>
      <c r="T8" s="1000"/>
      <c r="U8" s="1000"/>
      <c r="V8" s="1000"/>
      <c r="W8" s="1000"/>
      <c r="X8" s="1000"/>
      <c r="Y8" s="1000"/>
      <c r="Z8" s="1000"/>
      <c r="AA8" s="1000"/>
      <c r="AE8" s="819"/>
      <c r="AF8" s="819"/>
      <c r="AG8" s="819"/>
      <c r="AH8" s="819"/>
      <c r="AI8" s="819"/>
      <c r="AJ8" s="819"/>
      <c r="AK8" s="819"/>
      <c r="AL8" s="819"/>
      <c r="AM8" s="819"/>
      <c r="AN8" s="819"/>
      <c r="AO8" s="819"/>
      <c r="AP8" s="819"/>
      <c r="AQ8" s="819"/>
      <c r="AR8" s="819"/>
      <c r="AS8" s="819"/>
      <c r="AT8" s="819"/>
      <c r="AU8" s="819"/>
      <c r="AV8" s="819"/>
      <c r="AW8" s="819"/>
      <c r="AX8" s="819"/>
      <c r="AY8" s="819"/>
      <c r="AZ8" s="819"/>
      <c r="BB8" s="819"/>
      <c r="BC8" s="819"/>
    </row>
    <row r="9" spans="1:55" ht="17.100000000000001" customHeight="1">
      <c r="A9" s="819"/>
      <c r="B9" s="819"/>
      <c r="C9" s="2068" t="s">
        <v>1432</v>
      </c>
      <c r="D9" s="2068"/>
      <c r="E9" s="2068"/>
      <c r="F9" s="2068"/>
      <c r="G9" s="2068"/>
      <c r="H9" s="2068"/>
      <c r="I9" s="2068"/>
      <c r="J9" s="2068"/>
      <c r="K9" s="2068"/>
      <c r="L9" s="2068"/>
      <c r="M9" s="2068"/>
      <c r="N9" s="2068"/>
      <c r="O9" s="2068"/>
      <c r="P9" s="2068"/>
      <c r="Q9" s="2068"/>
      <c r="R9" s="2068"/>
      <c r="S9" s="2068"/>
      <c r="T9" s="2068"/>
      <c r="U9" s="2068"/>
      <c r="V9" s="2068"/>
      <c r="W9" s="2068"/>
      <c r="X9" s="2068"/>
      <c r="Y9" s="2068"/>
      <c r="Z9" s="2068"/>
      <c r="AA9" s="2068"/>
      <c r="AB9" s="2068"/>
    </row>
    <row r="10" spans="1:55" ht="14.1" customHeight="1">
      <c r="A10" s="819"/>
      <c r="B10" s="819"/>
      <c r="C10" s="2068"/>
      <c r="D10" s="2068"/>
      <c r="E10" s="2068"/>
      <c r="F10" s="2068"/>
      <c r="G10" s="2068"/>
      <c r="H10" s="2068"/>
      <c r="I10" s="2068"/>
      <c r="J10" s="2068"/>
      <c r="K10" s="2068"/>
      <c r="L10" s="2068"/>
      <c r="M10" s="2068"/>
      <c r="N10" s="2068"/>
      <c r="O10" s="2068"/>
      <c r="P10" s="2068"/>
      <c r="Q10" s="2068"/>
      <c r="R10" s="2068"/>
      <c r="S10" s="2068"/>
      <c r="T10" s="2068"/>
      <c r="U10" s="2068"/>
      <c r="V10" s="2068"/>
      <c r="W10" s="2068"/>
      <c r="X10" s="2068"/>
      <c r="Y10" s="2068"/>
      <c r="Z10" s="2068"/>
      <c r="AA10" s="2068"/>
      <c r="AB10" s="2068"/>
      <c r="AC10" s="819"/>
      <c r="AE10" s="819"/>
      <c r="AF10" s="819"/>
      <c r="AG10" s="819"/>
      <c r="AH10" s="819"/>
      <c r="AI10" s="819"/>
      <c r="AJ10" s="819"/>
      <c r="AK10" s="819"/>
      <c r="AL10" s="819"/>
      <c r="AM10" s="819"/>
      <c r="AN10" s="819"/>
      <c r="AO10" s="819"/>
      <c r="AP10" s="819"/>
      <c r="AQ10" s="819"/>
      <c r="AR10" s="819"/>
      <c r="AS10" s="819"/>
      <c r="AT10" s="819"/>
      <c r="AU10" s="819"/>
      <c r="AV10" s="819"/>
      <c r="AW10" s="819"/>
      <c r="AX10" s="819"/>
      <c r="AY10" s="819"/>
      <c r="AZ10" s="819"/>
      <c r="BB10" s="819"/>
      <c r="BC10" s="819"/>
    </row>
    <row r="11" spans="1:55" ht="14.1" customHeight="1">
      <c r="A11" s="819"/>
      <c r="B11" s="819"/>
      <c r="C11" s="2068"/>
      <c r="D11" s="2068"/>
      <c r="E11" s="2068"/>
      <c r="F11" s="2068"/>
      <c r="G11" s="2068"/>
      <c r="H11" s="2068"/>
      <c r="I11" s="2068"/>
      <c r="J11" s="2068"/>
      <c r="K11" s="2068"/>
      <c r="L11" s="2068"/>
      <c r="M11" s="2068"/>
      <c r="N11" s="2068"/>
      <c r="O11" s="2068"/>
      <c r="P11" s="2068"/>
      <c r="Q11" s="2068"/>
      <c r="R11" s="2068"/>
      <c r="S11" s="2068"/>
      <c r="T11" s="2068"/>
      <c r="U11" s="2068"/>
      <c r="V11" s="2068"/>
      <c r="W11" s="2068"/>
      <c r="X11" s="2068"/>
      <c r="Y11" s="2068"/>
      <c r="Z11" s="2068"/>
      <c r="AA11" s="2068"/>
      <c r="AB11" s="2068"/>
      <c r="AC11" s="819"/>
      <c r="AE11" s="819"/>
      <c r="AF11" s="819"/>
      <c r="AG11" s="819"/>
      <c r="AH11" s="819" t="s">
        <v>243</v>
      </c>
      <c r="AI11" s="819"/>
      <c r="AJ11" s="819"/>
      <c r="AK11" s="819"/>
      <c r="AL11" s="819"/>
      <c r="AM11" s="819"/>
      <c r="AN11" s="819"/>
      <c r="AO11" s="819"/>
      <c r="AP11" s="819"/>
      <c r="AQ11" s="819"/>
      <c r="AR11" s="819"/>
      <c r="AS11" s="819"/>
      <c r="AT11" s="819"/>
      <c r="AU11" s="819"/>
      <c r="AV11" s="819"/>
      <c r="AW11" s="819"/>
      <c r="AX11" s="819"/>
      <c r="AY11" s="819"/>
      <c r="AZ11" s="819"/>
      <c r="BB11" s="819"/>
      <c r="BC11" s="819"/>
    </row>
    <row r="12" spans="1:55" ht="14.1" customHeight="1" thickBot="1">
      <c r="A12" s="819"/>
      <c r="B12" s="819"/>
      <c r="C12" s="1406"/>
      <c r="D12" s="1406"/>
      <c r="E12" s="1406"/>
      <c r="F12" s="1406"/>
      <c r="G12" s="1406"/>
      <c r="H12" s="1406"/>
      <c r="I12" s="1406"/>
      <c r="J12" s="1406"/>
      <c r="K12" s="1406"/>
      <c r="L12" s="1406"/>
      <c r="M12" s="1406"/>
      <c r="N12" s="1406"/>
      <c r="O12" s="1406"/>
      <c r="P12" s="1406"/>
      <c r="Q12" s="1406"/>
      <c r="R12" s="1406"/>
      <c r="S12" s="1406"/>
      <c r="T12" s="2025" t="s">
        <v>1433</v>
      </c>
      <c r="U12" s="2025"/>
      <c r="V12" s="2025"/>
      <c r="W12" s="2025"/>
      <c r="X12" s="2025"/>
      <c r="Y12" s="2025"/>
      <c r="Z12" s="2025"/>
      <c r="AA12" s="2025"/>
      <c r="AB12" s="2025"/>
      <c r="AC12" s="819"/>
      <c r="AE12" s="819"/>
      <c r="AF12" s="819"/>
      <c r="AG12" s="819"/>
      <c r="AH12" s="819"/>
      <c r="AI12" s="819"/>
      <c r="AJ12" s="819"/>
      <c r="AK12" s="819"/>
      <c r="AL12" s="819"/>
      <c r="AM12" s="819"/>
      <c r="AN12" s="819"/>
      <c r="AO12" s="819"/>
      <c r="AP12" s="819"/>
      <c r="AQ12" s="819"/>
      <c r="AR12" s="819"/>
      <c r="AS12" s="819"/>
      <c r="AT12" s="819"/>
      <c r="AU12" s="819"/>
      <c r="AV12" s="819"/>
      <c r="AW12" s="819"/>
      <c r="AX12" s="819"/>
      <c r="AY12" s="819"/>
      <c r="AZ12" s="819"/>
      <c r="BB12" s="819"/>
      <c r="BC12" s="819"/>
    </row>
    <row r="13" spans="1:55" ht="14.1" customHeight="1">
      <c r="A13" s="819"/>
      <c r="B13" s="819"/>
      <c r="C13" s="1406"/>
      <c r="D13" s="1406"/>
      <c r="E13" s="1406"/>
      <c r="F13" s="1406"/>
      <c r="G13" s="1406"/>
      <c r="H13" s="1406"/>
      <c r="I13" s="2069" t="s">
        <v>1434</v>
      </c>
      <c r="J13" s="2070"/>
      <c r="K13" s="2070"/>
      <c r="L13" s="2070"/>
      <c r="M13" s="2070"/>
      <c r="N13" s="2071">
        <f>'1) Data Entry'!E16</f>
        <v>0</v>
      </c>
      <c r="O13" s="2071"/>
      <c r="P13" s="2071"/>
      <c r="Q13" s="1326" t="s">
        <v>373</v>
      </c>
      <c r="R13" s="1327"/>
      <c r="S13" s="1406"/>
      <c r="T13" s="2025"/>
      <c r="U13" s="2025"/>
      <c r="V13" s="2025"/>
      <c r="W13" s="2025"/>
      <c r="X13" s="2025"/>
      <c r="Y13" s="2025"/>
      <c r="Z13" s="2025"/>
      <c r="AA13" s="2025"/>
      <c r="AB13" s="2025"/>
      <c r="AC13" s="819"/>
      <c r="AE13" s="819"/>
      <c r="AF13" s="819"/>
      <c r="AG13" s="819"/>
      <c r="AH13" s="819"/>
      <c r="AI13" s="819"/>
      <c r="AJ13" s="819"/>
      <c r="AK13" s="819"/>
      <c r="AL13" s="819"/>
      <c r="AM13" s="819"/>
      <c r="AN13" s="819"/>
      <c r="AO13" s="819"/>
      <c r="AP13" s="819"/>
      <c r="AQ13" s="819"/>
      <c r="AR13" s="819"/>
      <c r="AS13" s="819"/>
      <c r="AT13" s="819"/>
      <c r="AU13" s="819"/>
      <c r="AV13" s="819"/>
      <c r="AW13" s="819"/>
      <c r="AX13" s="819"/>
      <c r="AY13" s="819"/>
      <c r="AZ13" s="819"/>
      <c r="BB13" s="819"/>
      <c r="BC13" s="819"/>
    </row>
    <row r="14" spans="1:55" ht="14.1" customHeight="1" thickBot="1">
      <c r="A14" s="819"/>
      <c r="B14" s="819"/>
      <c r="C14" s="533"/>
      <c r="D14" s="533"/>
      <c r="E14" s="533"/>
      <c r="F14" s="533"/>
      <c r="G14" s="2088"/>
      <c r="H14" s="2088"/>
      <c r="I14" s="2058" t="s">
        <v>1435</v>
      </c>
      <c r="J14" s="2059"/>
      <c r="K14" s="2059"/>
      <c r="L14" s="2059"/>
      <c r="M14" s="2059"/>
      <c r="N14" s="2061">
        <f ca="1">'4) Fault Analysis'!G7</f>
        <v>0</v>
      </c>
      <c r="O14" s="2061"/>
      <c r="P14" s="2061"/>
      <c r="Q14" s="2062" t="s">
        <v>183</v>
      </c>
      <c r="R14" s="2063"/>
      <c r="S14" s="819"/>
      <c r="T14" s="2089"/>
      <c r="U14" s="2089"/>
      <c r="V14" s="2089"/>
      <c r="W14" s="2089"/>
      <c r="X14" s="2089"/>
      <c r="Y14" s="2089"/>
      <c r="Z14" s="2089"/>
      <c r="AA14" s="2089"/>
      <c r="AB14" s="2089"/>
      <c r="AC14" s="819"/>
      <c r="AE14" s="819"/>
      <c r="AF14" s="819"/>
      <c r="AG14" s="819"/>
      <c r="AH14" s="819"/>
      <c r="AI14" s="819"/>
      <c r="AJ14" s="819"/>
      <c r="AK14" s="819"/>
      <c r="AL14" s="819"/>
      <c r="AM14" s="819"/>
      <c r="AN14" s="819"/>
      <c r="AO14" s="819"/>
      <c r="AP14" s="819"/>
      <c r="AQ14" s="819"/>
      <c r="AR14" s="819"/>
      <c r="AS14" s="819"/>
      <c r="AT14" s="819"/>
      <c r="AU14" s="819"/>
      <c r="AV14" s="819"/>
      <c r="AW14" s="819"/>
      <c r="AX14" s="819"/>
      <c r="AY14" s="819"/>
      <c r="AZ14" s="819"/>
      <c r="BB14" s="819"/>
      <c r="BC14" s="819"/>
    </row>
    <row r="15" spans="1:55" ht="24.75" customHeight="1">
      <c r="A15" s="819"/>
      <c r="B15" s="819"/>
      <c r="C15" s="533"/>
      <c r="D15" s="533"/>
      <c r="E15" s="533"/>
      <c r="F15" s="533"/>
      <c r="G15" s="1405"/>
      <c r="H15" s="1405"/>
      <c r="I15" s="2058" t="s">
        <v>1436</v>
      </c>
      <c r="J15" s="2059"/>
      <c r="K15" s="2059"/>
      <c r="L15" s="2059"/>
      <c r="M15" s="2059"/>
      <c r="N15" s="2060">
        <f>'1) Data Entry'!E21</f>
        <v>0</v>
      </c>
      <c r="O15" s="2061"/>
      <c r="P15" s="2061"/>
      <c r="Q15" s="2062" t="s">
        <v>1437</v>
      </c>
      <c r="R15" s="2063"/>
      <c r="S15" s="819"/>
      <c r="T15" s="2074" t="s">
        <v>1438</v>
      </c>
      <c r="U15" s="2075"/>
      <c r="V15" s="2076" t="s">
        <v>1439</v>
      </c>
      <c r="W15" s="2076"/>
      <c r="X15" s="2076" t="s">
        <v>1440</v>
      </c>
      <c r="Y15" s="2076"/>
      <c r="Z15" s="2075" t="s">
        <v>1441</v>
      </c>
      <c r="AA15" s="2077"/>
      <c r="AB15" s="736"/>
      <c r="AG15" s="819"/>
      <c r="AH15" s="819"/>
      <c r="AI15" s="819"/>
      <c r="AJ15" s="819"/>
      <c r="AK15" s="819"/>
      <c r="AL15" s="819"/>
      <c r="AM15" s="819"/>
      <c r="AN15" s="819"/>
      <c r="AO15" s="819"/>
      <c r="AP15" s="819"/>
      <c r="AQ15" s="819"/>
      <c r="AR15" s="819"/>
      <c r="AS15" s="819"/>
      <c r="AT15" s="819"/>
      <c r="AU15" s="819"/>
      <c r="AV15" s="819"/>
      <c r="AW15" s="819"/>
      <c r="AX15" s="819"/>
      <c r="AY15" s="819"/>
      <c r="AZ15" s="819"/>
      <c r="BA15" s="819"/>
      <c r="BB15" s="819"/>
      <c r="BC15" s="819"/>
    </row>
    <row r="16" spans="1:55" ht="13.5" customHeight="1">
      <c r="A16" s="819"/>
      <c r="B16" s="819"/>
      <c r="C16" s="533"/>
      <c r="D16" s="533"/>
      <c r="E16" s="533"/>
      <c r="F16" s="533"/>
      <c r="G16" s="1405"/>
      <c r="H16" s="1405"/>
      <c r="I16" s="2058" t="s">
        <v>1442</v>
      </c>
      <c r="J16" s="2059"/>
      <c r="K16" s="2059"/>
      <c r="L16" s="2059"/>
      <c r="M16" s="2059"/>
      <c r="N16" s="2060">
        <f>SMALL(V16:AA17,COUNTIF(V16:AA17,0)+1)</f>
        <v>4463.96</v>
      </c>
      <c r="O16" s="2061"/>
      <c r="P16" s="2061"/>
      <c r="Q16" s="2062" t="s">
        <v>1437</v>
      </c>
      <c r="R16" s="2063"/>
      <c r="S16" s="819"/>
      <c r="T16" s="2078" t="s">
        <v>1443</v>
      </c>
      <c r="U16" s="2079"/>
      <c r="V16" s="2080">
        <v>5156.05</v>
      </c>
      <c r="W16" s="2081"/>
      <c r="X16" s="2080">
        <v>8305.51</v>
      </c>
      <c r="Y16" s="2082"/>
      <c r="Z16" s="2051">
        <v>0</v>
      </c>
      <c r="AA16" s="2052"/>
      <c r="AB16" s="736"/>
      <c r="AG16" s="819"/>
      <c r="AH16" s="819"/>
      <c r="AI16" s="819"/>
      <c r="AJ16" s="819"/>
      <c r="AK16" s="819"/>
      <c r="AL16" s="819"/>
      <c r="AM16" s="819"/>
      <c r="AN16" s="819"/>
      <c r="AO16" s="819"/>
      <c r="AP16" s="819"/>
      <c r="AQ16" s="819"/>
      <c r="AR16" s="819"/>
      <c r="AS16" s="819"/>
      <c r="AT16" s="819"/>
      <c r="AU16" s="819"/>
      <c r="AV16" s="819"/>
      <c r="AW16" s="819"/>
      <c r="AX16" s="819"/>
      <c r="AY16" s="819"/>
      <c r="AZ16" s="819"/>
      <c r="BA16" s="819"/>
      <c r="BB16" s="819"/>
      <c r="BC16" s="819"/>
    </row>
    <row r="17" spans="1:36" ht="13.5" customHeight="1" thickBot="1">
      <c r="A17" s="819"/>
      <c r="B17" s="819"/>
      <c r="C17" s="533"/>
      <c r="D17" s="533"/>
      <c r="E17" s="533"/>
      <c r="F17" s="533"/>
      <c r="G17" s="1405"/>
      <c r="H17" s="1405"/>
      <c r="I17" s="2064" t="s">
        <v>1444</v>
      </c>
      <c r="J17" s="2065"/>
      <c r="K17" s="2065"/>
      <c r="L17" s="2065"/>
      <c r="M17" s="2065"/>
      <c r="N17" s="2066">
        <f>SMALL(V18:AA18,COUNTIF(V18:AA18,0)+1)</f>
        <v>3718.95</v>
      </c>
      <c r="O17" s="2067"/>
      <c r="P17" s="2067"/>
      <c r="Q17" s="2072" t="s">
        <v>1437</v>
      </c>
      <c r="R17" s="2073"/>
      <c r="S17" s="819"/>
      <c r="T17" s="2078" t="s">
        <v>1445</v>
      </c>
      <c r="U17" s="2079"/>
      <c r="V17" s="2080">
        <v>4463.96</v>
      </c>
      <c r="W17" s="2081"/>
      <c r="X17" s="2080">
        <v>7191.78</v>
      </c>
      <c r="Y17" s="2082"/>
      <c r="Z17" s="2051">
        <v>0</v>
      </c>
      <c r="AA17" s="2052"/>
      <c r="AB17" s="736"/>
      <c r="AG17" s="819"/>
      <c r="AH17" s="819"/>
      <c r="AI17" s="819"/>
      <c r="AJ17" s="819"/>
    </row>
    <row r="18" spans="1:36" ht="13.5" customHeight="1" thickBot="1">
      <c r="A18" s="819"/>
      <c r="B18" s="819"/>
      <c r="C18" s="819"/>
      <c r="D18" s="819"/>
      <c r="E18" s="819"/>
      <c r="F18" s="819"/>
      <c r="G18" s="819"/>
      <c r="H18" s="819"/>
      <c r="I18" s="819"/>
      <c r="J18" s="819"/>
      <c r="K18" s="819"/>
      <c r="L18" s="819"/>
      <c r="M18" s="819"/>
      <c r="N18" s="819"/>
      <c r="O18" s="819"/>
      <c r="P18" s="819"/>
      <c r="Q18" s="819"/>
      <c r="R18" s="819"/>
      <c r="S18" s="819"/>
      <c r="T18" s="2096" t="s">
        <v>1446</v>
      </c>
      <c r="U18" s="2097"/>
      <c r="V18" s="2098">
        <v>3718.95</v>
      </c>
      <c r="W18" s="2099"/>
      <c r="X18" s="2098">
        <v>5857.69</v>
      </c>
      <c r="Y18" s="2100"/>
      <c r="Z18" s="2101">
        <v>0</v>
      </c>
      <c r="AA18" s="2102"/>
      <c r="AB18" s="736"/>
      <c r="AG18" s="819"/>
      <c r="AH18" s="819"/>
      <c r="AI18" s="819"/>
      <c r="AJ18" s="819"/>
    </row>
    <row r="19" spans="1:36" ht="14.1" customHeight="1">
      <c r="A19" s="534"/>
      <c r="B19" s="534"/>
      <c r="C19" s="534"/>
      <c r="D19" s="534"/>
      <c r="E19" s="534"/>
      <c r="F19" s="534"/>
      <c r="G19" s="534"/>
      <c r="H19" s="534"/>
      <c r="I19" s="534"/>
      <c r="J19" s="534"/>
      <c r="K19" s="534"/>
      <c r="L19" s="534"/>
      <c r="M19" s="534"/>
      <c r="N19" s="534"/>
      <c r="P19" s="1328"/>
      <c r="Q19" s="535"/>
      <c r="R19" s="534"/>
      <c r="S19" s="534"/>
      <c r="T19" s="737"/>
      <c r="U19" s="738"/>
      <c r="V19" s="738"/>
      <c r="W19" s="738"/>
      <c r="X19" s="738"/>
      <c r="Y19" s="738"/>
      <c r="Z19" s="738"/>
      <c r="AA19" s="738"/>
      <c r="AB19" s="738"/>
    </row>
    <row r="20" spans="1:36" s="534" customFormat="1">
      <c r="A20" s="2053" t="s">
        <v>1447</v>
      </c>
      <c r="B20" s="2053"/>
      <c r="C20" s="2053"/>
      <c r="D20" s="2053"/>
      <c r="E20" s="2053"/>
      <c r="F20" s="2053"/>
      <c r="G20" s="2053"/>
      <c r="H20" s="536" t="s">
        <v>535</v>
      </c>
      <c r="I20" s="2054">
        <v>0.8</v>
      </c>
      <c r="J20" s="2054"/>
      <c r="K20" s="537" t="s">
        <v>536</v>
      </c>
      <c r="L20" s="2055">
        <f>N16</f>
        <v>4463.96</v>
      </c>
      <c r="M20" s="2055"/>
      <c r="N20" s="1329" t="s">
        <v>537</v>
      </c>
      <c r="O20" s="2056">
        <f ca="1">$N$14</f>
        <v>0</v>
      </c>
      <c r="P20" s="2056"/>
      <c r="Q20" s="536" t="s">
        <v>365</v>
      </c>
      <c r="R20" s="2047" t="e">
        <f ca="1">I20*L20/O20</f>
        <v>#DIV/0!</v>
      </c>
      <c r="S20" s="2047"/>
      <c r="T20" s="739"/>
      <c r="U20" s="738"/>
      <c r="V20" s="740"/>
      <c r="W20" s="741"/>
      <c r="X20" s="741"/>
      <c r="Y20" s="738"/>
      <c r="Z20" s="738"/>
      <c r="AA20" s="738"/>
      <c r="AB20" s="738"/>
      <c r="AD20" s="599"/>
    </row>
    <row r="21" spans="1:36" s="534" customFormat="1" ht="13.8" thickBot="1">
      <c r="D21" s="539"/>
      <c r="E21" s="539"/>
      <c r="F21" s="538"/>
      <c r="G21" s="541"/>
      <c r="H21" s="539"/>
      <c r="I21" s="2050" t="s">
        <v>544</v>
      </c>
      <c r="J21" s="2050"/>
      <c r="K21" s="538"/>
      <c r="L21" s="2043" t="s">
        <v>1448</v>
      </c>
      <c r="M21" s="2043"/>
      <c r="N21" s="542"/>
      <c r="O21" s="2044" t="s">
        <v>545</v>
      </c>
      <c r="P21" s="2044"/>
      <c r="Q21" s="542"/>
      <c r="R21" s="541"/>
      <c r="S21" s="538"/>
      <c r="T21" s="541"/>
      <c r="U21" s="539"/>
      <c r="V21" s="2057" t="s">
        <v>1449</v>
      </c>
      <c r="W21" s="2057"/>
      <c r="X21" s="2057"/>
      <c r="Y21" s="2057"/>
      <c r="Z21" s="2057"/>
      <c r="AA21" s="2057"/>
      <c r="AB21" s="2057"/>
      <c r="AC21" s="2057"/>
      <c r="AD21" s="599" t="s">
        <v>1450</v>
      </c>
    </row>
    <row r="22" spans="1:36" s="534" customFormat="1" ht="13.8" thickBot="1">
      <c r="A22" s="539"/>
      <c r="B22" s="539"/>
      <c r="C22" s="538"/>
      <c r="D22" s="541"/>
      <c r="E22" s="539"/>
      <c r="F22" s="1404"/>
      <c r="G22" s="538"/>
      <c r="H22" s="542"/>
      <c r="I22" s="542"/>
      <c r="J22" s="542"/>
      <c r="K22" s="541"/>
      <c r="L22" s="542"/>
      <c r="M22" s="541"/>
      <c r="N22" s="538"/>
      <c r="O22" s="541"/>
      <c r="P22" s="539"/>
      <c r="Q22" s="540"/>
      <c r="R22" s="540"/>
      <c r="S22" s="543"/>
      <c r="V22" s="2090" t="s">
        <v>1451</v>
      </c>
      <c r="W22" s="2091"/>
      <c r="X22" s="2091"/>
      <c r="Y22" s="2091"/>
      <c r="Z22" s="2091"/>
      <c r="AA22" s="2091"/>
      <c r="AB22" s="2091"/>
      <c r="AC22" s="2092"/>
      <c r="AD22" s="599"/>
    </row>
    <row r="23" spans="1:36" s="534" customFormat="1">
      <c r="A23" s="2053" t="s">
        <v>1452</v>
      </c>
      <c r="B23" s="2053"/>
      <c r="C23" s="2053"/>
      <c r="D23" s="2053"/>
      <c r="E23" s="2053"/>
      <c r="F23" s="2053"/>
      <c r="G23" s="2053"/>
      <c r="H23" s="536" t="s">
        <v>535</v>
      </c>
      <c r="I23" s="2054">
        <v>1.25</v>
      </c>
      <c r="J23" s="2054"/>
      <c r="K23" s="537" t="s">
        <v>536</v>
      </c>
      <c r="L23" s="2055">
        <f>N15</f>
        <v>0</v>
      </c>
      <c r="M23" s="2055"/>
      <c r="N23" s="1329" t="s">
        <v>537</v>
      </c>
      <c r="O23" s="2056">
        <f ca="1">$N$14</f>
        <v>0</v>
      </c>
      <c r="P23" s="2056"/>
      <c r="Q23" s="536" t="s">
        <v>365</v>
      </c>
      <c r="R23" s="2047" t="e">
        <f ca="1">I23*L23/O23</f>
        <v>#DIV/0!</v>
      </c>
      <c r="S23" s="2047"/>
      <c r="T23" s="538"/>
      <c r="U23" s="538"/>
      <c r="V23" s="539"/>
      <c r="W23" s="540"/>
      <c r="X23" s="540"/>
      <c r="AD23" s="599" t="s">
        <v>1453</v>
      </c>
    </row>
    <row r="24" spans="1:36" s="534" customFormat="1">
      <c r="D24" s="539"/>
      <c r="E24" s="539"/>
      <c r="F24" s="538"/>
      <c r="G24" s="541"/>
      <c r="H24" s="539"/>
      <c r="I24" s="2050" t="s">
        <v>544</v>
      </c>
      <c r="J24" s="2050"/>
      <c r="K24" s="538"/>
      <c r="L24" s="2043" t="s">
        <v>549</v>
      </c>
      <c r="M24" s="2043"/>
      <c r="N24" s="542"/>
      <c r="O24" s="2044" t="s">
        <v>545</v>
      </c>
      <c r="P24" s="2044"/>
      <c r="Q24" s="542"/>
      <c r="R24" s="598"/>
      <c r="S24" s="538"/>
      <c r="T24" s="541"/>
      <c r="U24" s="539"/>
      <c r="V24" s="540"/>
      <c r="W24" s="540"/>
      <c r="X24" s="543"/>
      <c r="AD24" s="599"/>
    </row>
    <row r="25" spans="1:36" s="534" customFormat="1">
      <c r="A25" s="539"/>
      <c r="B25" s="539"/>
      <c r="C25" s="538"/>
      <c r="D25" s="541"/>
      <c r="E25" s="539"/>
      <c r="F25" s="1404"/>
      <c r="G25" s="538"/>
      <c r="H25" s="542"/>
      <c r="I25" s="542"/>
      <c r="J25" s="542"/>
      <c r="K25" s="541"/>
      <c r="L25" s="542"/>
      <c r="M25" s="541"/>
      <c r="N25" s="538"/>
      <c r="O25" s="541"/>
      <c r="P25" s="539"/>
      <c r="Q25" s="540"/>
      <c r="R25" s="540"/>
      <c r="S25" s="543"/>
      <c r="AD25" s="599"/>
    </row>
    <row r="26" spans="1:36" s="534" customFormat="1">
      <c r="A26" s="819"/>
      <c r="B26" s="819"/>
      <c r="C26" s="819"/>
      <c r="D26" s="819"/>
      <c r="E26" s="819"/>
      <c r="F26" s="819"/>
      <c r="G26" s="819"/>
      <c r="H26" s="819"/>
      <c r="I26" s="819"/>
      <c r="J26" s="539"/>
      <c r="K26" s="819"/>
      <c r="L26" s="819"/>
      <c r="M26" s="544"/>
      <c r="N26" s="545"/>
      <c r="O26" s="2048" t="e">
        <f ca="1">MAX(MIN(R20,R23),0.5)</f>
        <v>#DIV/0!</v>
      </c>
      <c r="P26" s="2049"/>
      <c r="Q26" s="539" t="s">
        <v>632</v>
      </c>
      <c r="R26" s="819"/>
      <c r="S26" s="2032" t="s">
        <v>1454</v>
      </c>
      <c r="T26" s="2032"/>
      <c r="U26" s="2032"/>
      <c r="V26" s="2032"/>
      <c r="W26" s="2032"/>
      <c r="X26" s="2032"/>
      <c r="Y26" s="2032"/>
      <c r="Z26" s="1330" t="s">
        <v>365</v>
      </c>
      <c r="AA26" s="2045" t="e">
        <f ca="1">ROUND(IF(O27="",O26,O27),1)</f>
        <v>#DIV/0!</v>
      </c>
      <c r="AB26" s="2046"/>
      <c r="AD26" s="599" t="s">
        <v>1455</v>
      </c>
    </row>
    <row r="27" spans="1:36" ht="14.1" customHeight="1">
      <c r="A27" s="819"/>
      <c r="B27" s="819"/>
      <c r="C27" s="819"/>
      <c r="D27" s="819"/>
      <c r="E27" s="819"/>
      <c r="F27" s="819"/>
      <c r="G27" s="819"/>
      <c r="H27" s="819"/>
      <c r="I27" s="819"/>
      <c r="J27" s="819"/>
      <c r="K27" s="819"/>
      <c r="L27" s="819"/>
      <c r="M27" s="546" t="s">
        <v>573</v>
      </c>
      <c r="N27" s="547" t="s">
        <v>378</v>
      </c>
      <c r="O27" s="2036"/>
      <c r="P27" s="2036"/>
      <c r="Q27" s="819"/>
      <c r="R27" s="819"/>
      <c r="S27" s="819"/>
      <c r="T27" s="819"/>
      <c r="U27" s="2031" t="e">
        <f ca="1">IF(MIN(R20,R23)&lt;0.5,"Note:  Min fault current is below 0.5 A sec.","")</f>
        <v>#DIV/0!</v>
      </c>
      <c r="V27" s="2031"/>
      <c r="W27" s="2031"/>
      <c r="X27" s="2031"/>
      <c r="Y27" s="2031"/>
      <c r="Z27" s="2031"/>
      <c r="AA27" s="2031"/>
      <c r="AB27" s="2031"/>
      <c r="AC27" s="819"/>
      <c r="AE27" s="819"/>
      <c r="AF27" s="819"/>
      <c r="AG27" s="819"/>
      <c r="AH27" s="819"/>
      <c r="AI27" s="819"/>
      <c r="AJ27" s="819"/>
    </row>
    <row r="28" spans="1:36" ht="14.1" customHeight="1">
      <c r="A28" s="534"/>
      <c r="B28" s="534"/>
      <c r="C28" s="534"/>
      <c r="D28" s="534"/>
      <c r="E28" s="534"/>
      <c r="F28" s="534"/>
      <c r="G28" s="534"/>
      <c r="H28" s="534"/>
      <c r="I28" s="534"/>
      <c r="J28" s="534"/>
      <c r="K28" s="534"/>
      <c r="L28" s="534"/>
      <c r="M28" s="534"/>
      <c r="N28" s="534"/>
      <c r="P28" s="1328"/>
      <c r="Q28" s="535"/>
      <c r="R28" s="534"/>
      <c r="S28" s="534"/>
      <c r="T28" s="534"/>
      <c r="U28" s="534"/>
      <c r="V28" s="534"/>
      <c r="W28" s="534"/>
      <c r="X28" s="534"/>
      <c r="Y28" s="534"/>
      <c r="Z28" s="534"/>
      <c r="AA28" s="534"/>
      <c r="AB28" s="534"/>
      <c r="AC28" s="819"/>
      <c r="AE28" s="819"/>
      <c r="AF28" s="819"/>
      <c r="AG28" s="819"/>
      <c r="AH28" s="819"/>
      <c r="AI28" s="819"/>
      <c r="AJ28" s="819"/>
    </row>
    <row r="29" spans="1:36" s="534" customFormat="1" ht="15.6">
      <c r="A29" s="2053" t="s">
        <v>1456</v>
      </c>
      <c r="B29" s="2053"/>
      <c r="C29" s="2053"/>
      <c r="D29" s="2053"/>
      <c r="E29" s="2053"/>
      <c r="F29" s="2053"/>
      <c r="G29" s="2053"/>
      <c r="H29" s="536" t="s">
        <v>535</v>
      </c>
      <c r="I29" s="2054">
        <v>0.8</v>
      </c>
      <c r="J29" s="2054"/>
      <c r="K29" s="537" t="s">
        <v>536</v>
      </c>
      <c r="L29" s="2055">
        <f>N17</f>
        <v>3718.95</v>
      </c>
      <c r="M29" s="2055"/>
      <c r="N29" s="1329" t="s">
        <v>537</v>
      </c>
      <c r="O29" s="2056">
        <f ca="1">$N$14</f>
        <v>0</v>
      </c>
      <c r="P29" s="2056"/>
      <c r="Q29" s="536" t="s">
        <v>365</v>
      </c>
      <c r="R29" s="2047" t="e">
        <f ca="1">I29*L29/O29</f>
        <v>#DIV/0!</v>
      </c>
      <c r="S29" s="2047"/>
      <c r="T29" s="538"/>
      <c r="U29" s="538"/>
      <c r="V29" s="539"/>
      <c r="W29" s="540"/>
      <c r="X29" s="540"/>
      <c r="AD29" s="599" t="s">
        <v>1457</v>
      </c>
      <c r="AG29" s="617" t="s">
        <v>1458</v>
      </c>
    </row>
    <row r="30" spans="1:36" s="534" customFormat="1">
      <c r="D30" s="539"/>
      <c r="E30" s="539"/>
      <c r="F30" s="538"/>
      <c r="G30" s="541"/>
      <c r="H30" s="539"/>
      <c r="I30" s="2050" t="s">
        <v>544</v>
      </c>
      <c r="J30" s="2050"/>
      <c r="K30" s="538"/>
      <c r="L30" s="2043" t="s">
        <v>1459</v>
      </c>
      <c r="M30" s="2043"/>
      <c r="N30" s="542"/>
      <c r="O30" s="2044" t="s">
        <v>545</v>
      </c>
      <c r="P30" s="2044"/>
      <c r="Q30" s="542"/>
      <c r="R30" s="541"/>
      <c r="S30" s="538"/>
      <c r="T30" s="541"/>
      <c r="U30" s="539"/>
      <c r="V30" s="540"/>
      <c r="W30" s="540"/>
      <c r="X30" s="543"/>
      <c r="AD30" s="599"/>
    </row>
    <row r="31" spans="1:36" s="534" customFormat="1">
      <c r="A31" s="539"/>
      <c r="B31" s="539"/>
      <c r="C31" s="538"/>
      <c r="D31" s="541"/>
      <c r="E31" s="539"/>
      <c r="F31" s="1404"/>
      <c r="G31" s="538"/>
      <c r="H31" s="542"/>
      <c r="I31" s="542"/>
      <c r="J31" s="542"/>
      <c r="K31" s="541"/>
      <c r="L31" s="542"/>
      <c r="M31" s="541"/>
      <c r="N31" s="538"/>
      <c r="O31" s="541"/>
      <c r="P31" s="539"/>
      <c r="Q31" s="540"/>
      <c r="R31" s="540"/>
      <c r="S31" s="543"/>
      <c r="AD31" s="599"/>
    </row>
    <row r="32" spans="1:36" s="534" customFormat="1">
      <c r="A32" s="819"/>
      <c r="B32" s="819"/>
      <c r="C32" s="819"/>
      <c r="D32" s="819"/>
      <c r="E32" s="819"/>
      <c r="F32" s="819"/>
      <c r="G32" s="819"/>
      <c r="H32" s="819"/>
      <c r="I32" s="819"/>
      <c r="J32" s="819"/>
      <c r="K32" s="819"/>
      <c r="L32" s="819"/>
      <c r="M32" s="544"/>
      <c r="N32" s="545"/>
      <c r="O32" s="2048" t="e">
        <f ca="1">MAX(MIN(R29,1),0.5)</f>
        <v>#DIV/0!</v>
      </c>
      <c r="P32" s="2049"/>
      <c r="Q32" s="539" t="s">
        <v>632</v>
      </c>
      <c r="R32" s="819"/>
      <c r="S32" s="2032" t="s">
        <v>1460</v>
      </c>
      <c r="T32" s="2032"/>
      <c r="U32" s="2032"/>
      <c r="V32" s="2032"/>
      <c r="W32" s="2032"/>
      <c r="X32" s="2032"/>
      <c r="Y32" s="2032"/>
      <c r="Z32" s="1330" t="s">
        <v>365</v>
      </c>
      <c r="AA32" s="2045" t="e">
        <f ca="1">ROUND(IF(O33="",O32,O33),1)</f>
        <v>#DIV/0!</v>
      </c>
      <c r="AB32" s="2046"/>
      <c r="AD32" s="599" t="s">
        <v>1461</v>
      </c>
    </row>
    <row r="33" spans="1:56" ht="14.1" customHeight="1">
      <c r="A33" s="819"/>
      <c r="B33" s="819"/>
      <c r="C33" s="819"/>
      <c r="D33" s="819"/>
      <c r="E33" s="819"/>
      <c r="F33" s="819"/>
      <c r="G33" s="819"/>
      <c r="H33" s="819"/>
      <c r="I33" s="819"/>
      <c r="J33" s="819"/>
      <c r="K33" s="819"/>
      <c r="L33" s="819"/>
      <c r="M33" s="546" t="s">
        <v>573</v>
      </c>
      <c r="N33" s="547" t="s">
        <v>378</v>
      </c>
      <c r="O33" s="2036"/>
      <c r="P33" s="2036"/>
      <c r="Q33" s="819"/>
      <c r="R33" s="819"/>
      <c r="S33" s="819"/>
      <c r="T33" s="819"/>
      <c r="U33" s="2031" t="e">
        <f ca="1">IF(R29&lt;0.5,"Note:  Min fault current is below 0.5 A sec.","")</f>
        <v>#DIV/0!</v>
      </c>
      <c r="V33" s="2031"/>
      <c r="W33" s="2031"/>
      <c r="X33" s="2031"/>
      <c r="Y33" s="2031"/>
      <c r="Z33" s="2031"/>
      <c r="AA33" s="2031"/>
      <c r="AB33" s="2031"/>
      <c r="AC33" s="819"/>
      <c r="AE33" s="819"/>
      <c r="AF33" s="819"/>
      <c r="AG33" s="819"/>
      <c r="AH33" s="819"/>
      <c r="AI33" s="819"/>
      <c r="AJ33" s="819"/>
      <c r="AK33" s="819"/>
      <c r="AL33" s="819"/>
      <c r="AM33" s="819"/>
      <c r="AN33" s="819"/>
      <c r="AO33" s="819"/>
      <c r="AP33" s="819"/>
      <c r="AQ33" s="819"/>
      <c r="AR33" s="819"/>
      <c r="AS33" s="819"/>
      <c r="AT33" s="819"/>
      <c r="AU33" s="819"/>
      <c r="AV33" s="819"/>
      <c r="AW33" s="819"/>
      <c r="AX33" s="819"/>
      <c r="AY33" s="819"/>
      <c r="AZ33" s="819"/>
      <c r="BA33" s="819"/>
      <c r="BB33" s="819"/>
      <c r="BC33" s="819"/>
      <c r="BD33" s="819"/>
    </row>
    <row r="34" spans="1:56" ht="14.1" customHeight="1">
      <c r="A34" s="819"/>
      <c r="B34" s="819"/>
      <c r="C34" s="819"/>
      <c r="D34" s="819"/>
      <c r="E34" s="2039" t="s">
        <v>1462</v>
      </c>
      <c r="F34" s="2039"/>
      <c r="G34" s="2039"/>
      <c r="H34" s="2039"/>
      <c r="I34" s="2039"/>
      <c r="J34" s="2039"/>
      <c r="K34" s="2039"/>
      <c r="L34" s="2039"/>
      <c r="M34" s="2039"/>
      <c r="N34" s="2039"/>
      <c r="O34" s="2039"/>
      <c r="P34" s="819"/>
      <c r="U34" s="819"/>
      <c r="V34" s="819"/>
      <c r="W34" s="819"/>
      <c r="X34" s="819"/>
      <c r="Y34" s="819"/>
      <c r="Z34" s="819"/>
      <c r="AA34" s="819"/>
      <c r="AB34" s="819"/>
      <c r="AC34" s="819"/>
      <c r="AE34" s="819"/>
      <c r="AF34" s="819"/>
      <c r="AG34" s="819"/>
      <c r="AH34" s="819"/>
      <c r="AI34" s="819"/>
      <c r="AJ34" s="819"/>
      <c r="AK34" s="819"/>
      <c r="AL34" s="819"/>
      <c r="AM34" s="819"/>
      <c r="AN34" s="819"/>
      <c r="AO34" s="819"/>
      <c r="AP34" s="819"/>
      <c r="AQ34" s="819"/>
      <c r="AR34" s="819"/>
      <c r="AS34" s="819"/>
      <c r="AT34" s="819"/>
      <c r="AU34" s="819"/>
      <c r="AV34" s="819"/>
      <c r="AW34" s="819"/>
      <c r="AX34" s="819"/>
      <c r="AY34" s="819"/>
      <c r="AZ34" s="819"/>
      <c r="BA34" s="819"/>
      <c r="BB34" s="819"/>
      <c r="BC34" s="819"/>
      <c r="BD34" s="819"/>
    </row>
    <row r="35" spans="1:56" ht="14.1" customHeight="1">
      <c r="A35" s="819"/>
      <c r="B35" s="819"/>
      <c r="C35" s="819"/>
      <c r="D35" s="819"/>
      <c r="E35" s="2039"/>
      <c r="F35" s="2039"/>
      <c r="G35" s="2039"/>
      <c r="H35" s="2039"/>
      <c r="I35" s="2039"/>
      <c r="J35" s="2039"/>
      <c r="K35" s="2039"/>
      <c r="L35" s="2039"/>
      <c r="M35" s="2039"/>
      <c r="N35" s="2039"/>
      <c r="O35" s="2039"/>
      <c r="P35" s="2032" t="s">
        <v>1463</v>
      </c>
      <c r="Q35" s="2032"/>
      <c r="R35" s="2032"/>
      <c r="S35" s="2032"/>
      <c r="T35" s="2032"/>
      <c r="U35" s="2032"/>
      <c r="V35" s="2032"/>
      <c r="W35" s="2032"/>
      <c r="X35" s="2032"/>
      <c r="Y35" s="2032"/>
      <c r="Z35" s="1330" t="s">
        <v>365</v>
      </c>
      <c r="AA35" s="2033">
        <f>IF(N13&gt;=230,8,10)</f>
        <v>10</v>
      </c>
      <c r="AB35" s="2034"/>
      <c r="AC35" s="819"/>
      <c r="AD35" s="599" t="s">
        <v>1464</v>
      </c>
      <c r="AE35" s="819"/>
      <c r="AF35" s="819"/>
      <c r="AG35" s="819"/>
      <c r="AH35" s="819"/>
      <c r="AI35" s="819"/>
      <c r="AJ35" s="819"/>
      <c r="AK35" s="819"/>
      <c r="AL35" s="819"/>
      <c r="AM35" s="819"/>
      <c r="AN35" s="819"/>
      <c r="AO35" s="819"/>
      <c r="AP35" s="819"/>
      <c r="AQ35" s="819"/>
      <c r="AR35" s="819"/>
      <c r="AS35" s="819"/>
      <c r="AT35" s="819"/>
      <c r="AU35" s="819"/>
      <c r="AV35" s="819"/>
      <c r="AW35" s="819"/>
      <c r="AX35" s="819"/>
      <c r="AY35" s="819"/>
      <c r="AZ35" s="819"/>
      <c r="BA35" s="819"/>
      <c r="BB35" s="819"/>
      <c r="BC35" s="819"/>
    </row>
    <row r="36" spans="1:56" ht="14.1" customHeight="1">
      <c r="A36" s="819"/>
      <c r="B36" s="819"/>
      <c r="C36" s="819"/>
      <c r="D36" s="819"/>
      <c r="E36" s="2039"/>
      <c r="F36" s="2039"/>
      <c r="G36" s="2039"/>
      <c r="H36" s="2039"/>
      <c r="I36" s="2039"/>
      <c r="J36" s="2039"/>
      <c r="K36" s="2039"/>
      <c r="L36" s="2039"/>
      <c r="M36" s="2039"/>
      <c r="N36" s="2039"/>
      <c r="O36" s="2039"/>
      <c r="P36" s="819"/>
      <c r="U36" s="819"/>
      <c r="V36" s="819"/>
      <c r="W36" s="819"/>
      <c r="X36" s="819"/>
      <c r="Y36" s="819"/>
      <c r="Z36" s="819"/>
      <c r="AA36" s="819"/>
      <c r="AB36" s="819"/>
      <c r="AC36" s="819"/>
      <c r="AE36" s="819"/>
      <c r="AF36" s="819"/>
      <c r="AG36" s="819"/>
      <c r="AH36" s="819"/>
      <c r="AI36" s="819"/>
      <c r="AJ36" s="819"/>
      <c r="AK36" s="819"/>
      <c r="AL36" s="819"/>
      <c r="AM36" s="819"/>
      <c r="AN36" s="819"/>
      <c r="AO36" s="819"/>
      <c r="AP36" s="819"/>
      <c r="AQ36" s="819"/>
      <c r="AR36" s="819"/>
      <c r="AS36" s="819"/>
      <c r="AT36" s="819"/>
      <c r="AU36" s="819"/>
      <c r="AV36" s="819"/>
      <c r="AW36" s="819"/>
      <c r="AX36" s="819"/>
      <c r="AY36" s="819"/>
      <c r="AZ36" s="819"/>
      <c r="BA36" s="819"/>
      <c r="BB36" s="819"/>
      <c r="BC36" s="819"/>
    </row>
    <row r="37" spans="1:56" ht="14.1" customHeight="1">
      <c r="A37" s="819"/>
      <c r="B37" s="819"/>
      <c r="C37" s="819"/>
      <c r="D37" s="819"/>
      <c r="E37" s="788" t="s">
        <v>1465</v>
      </c>
      <c r="F37" s="2040" t="s">
        <v>1466</v>
      </c>
      <c r="G37" s="2041"/>
      <c r="H37" s="2041"/>
      <c r="I37" s="2041"/>
      <c r="J37" s="2041"/>
      <c r="K37" s="2041"/>
      <c r="L37" s="2041"/>
      <c r="M37" s="2041"/>
      <c r="N37" s="2042"/>
      <c r="T37" s="788" t="s">
        <v>1467</v>
      </c>
      <c r="U37" s="2040" t="s">
        <v>1468</v>
      </c>
      <c r="V37" s="2041"/>
      <c r="W37" s="2041"/>
      <c r="X37" s="2041"/>
      <c r="Y37" s="2041"/>
      <c r="Z37" s="2041"/>
      <c r="AA37" s="2041"/>
      <c r="AB37" s="2041"/>
      <c r="AC37" s="2042"/>
      <c r="AE37" s="819"/>
      <c r="AF37" s="819"/>
      <c r="AG37" s="819"/>
      <c r="AH37" s="819"/>
      <c r="AI37" s="819"/>
      <c r="AJ37" s="819"/>
      <c r="AK37" s="819"/>
      <c r="AL37" s="819"/>
      <c r="AM37" s="819"/>
      <c r="AN37" s="819"/>
      <c r="AO37" s="819"/>
      <c r="AP37" s="819"/>
      <c r="AQ37" s="819"/>
      <c r="AR37" s="819"/>
      <c r="AS37" s="819"/>
      <c r="AT37" s="819"/>
      <c r="AU37" s="819"/>
      <c r="AV37" s="819"/>
      <c r="AW37" s="819"/>
      <c r="AX37" s="819"/>
      <c r="AY37" s="819"/>
      <c r="AZ37" s="819"/>
      <c r="BA37" s="819"/>
      <c r="BB37" s="819"/>
      <c r="BC37" s="819"/>
    </row>
    <row r="38" spans="1:56" ht="14.1" customHeight="1">
      <c r="A38" s="819"/>
      <c r="B38" s="819"/>
      <c r="C38" s="819"/>
      <c r="D38" s="819"/>
      <c r="E38" s="788" t="s">
        <v>1469</v>
      </c>
      <c r="F38" s="2040" t="s">
        <v>340</v>
      </c>
      <c r="G38" s="2041"/>
      <c r="H38" s="2041"/>
      <c r="I38" s="2041"/>
      <c r="J38" s="2041"/>
      <c r="K38" s="2041"/>
      <c r="L38" s="2041"/>
      <c r="M38" s="2041"/>
      <c r="N38" s="2042"/>
      <c r="T38" s="788" t="s">
        <v>1469</v>
      </c>
      <c r="U38" s="2040" t="s">
        <v>340</v>
      </c>
      <c r="V38" s="2041"/>
      <c r="W38" s="2041"/>
      <c r="X38" s="2041"/>
      <c r="Y38" s="2041"/>
      <c r="Z38" s="2041"/>
      <c r="AA38" s="2041"/>
      <c r="AB38" s="2041"/>
      <c r="AC38" s="2042"/>
      <c r="AE38" s="819"/>
      <c r="AF38" s="819"/>
      <c r="AG38" s="819"/>
      <c r="AH38" s="819"/>
      <c r="AI38" s="819"/>
      <c r="AJ38" s="819"/>
      <c r="AK38" s="819"/>
      <c r="AL38" s="819"/>
      <c r="AM38" s="819"/>
      <c r="AN38" s="819"/>
      <c r="AO38" s="819"/>
      <c r="AP38" s="819"/>
      <c r="AQ38" s="819"/>
      <c r="AR38" s="819"/>
      <c r="AS38" s="819"/>
      <c r="AT38" s="819"/>
      <c r="AU38" s="819"/>
      <c r="AV38" s="819"/>
      <c r="AW38" s="819"/>
      <c r="AX38" s="819"/>
      <c r="AY38" s="819"/>
      <c r="AZ38" s="819"/>
      <c r="BA38" s="819"/>
      <c r="BB38" s="819"/>
      <c r="BC38" s="819"/>
    </row>
    <row r="39" spans="1:56" ht="14.1" customHeight="1">
      <c r="A39" s="819"/>
      <c r="B39" s="819"/>
      <c r="C39" s="819"/>
      <c r="D39" s="819"/>
      <c r="E39" s="819"/>
      <c r="F39" s="819"/>
      <c r="N39" s="547"/>
      <c r="Q39" s="819"/>
      <c r="R39" s="819"/>
      <c r="S39" s="819"/>
      <c r="T39" s="819"/>
      <c r="AC39" s="819"/>
      <c r="AE39" s="819"/>
      <c r="AF39" s="819"/>
      <c r="AG39" s="819"/>
      <c r="AH39" s="819"/>
      <c r="AI39" s="819"/>
      <c r="AJ39" s="819"/>
      <c r="AK39" s="819"/>
      <c r="AL39" s="819"/>
      <c r="AM39" s="819"/>
      <c r="AN39" s="819"/>
      <c r="AO39" s="819"/>
      <c r="AP39" s="819"/>
      <c r="AQ39" s="819"/>
      <c r="AR39" s="819"/>
      <c r="AS39" s="819"/>
      <c r="AT39" s="819"/>
      <c r="AU39" s="819"/>
      <c r="AV39" s="819"/>
      <c r="AW39" s="819"/>
      <c r="AX39" s="819"/>
      <c r="AY39" s="819"/>
      <c r="AZ39" s="819"/>
      <c r="BA39" s="819"/>
      <c r="BB39" s="819"/>
      <c r="BC39" s="819"/>
    </row>
    <row r="40" spans="1:56" ht="14.1" customHeight="1">
      <c r="A40" s="2037" t="s">
        <v>1470</v>
      </c>
      <c r="B40" s="2037"/>
      <c r="C40" s="2037"/>
      <c r="D40" s="2037"/>
      <c r="E40" s="2037"/>
      <c r="F40" s="2037"/>
      <c r="G40" s="2037"/>
      <c r="H40" s="2037"/>
      <c r="I40" s="2037"/>
      <c r="J40" s="2037"/>
      <c r="K40" s="2037"/>
      <c r="L40" s="2037"/>
      <c r="M40" s="2037"/>
      <c r="N40" s="2037"/>
      <c r="O40" s="2037"/>
      <c r="P40" s="2037"/>
      <c r="Q40" s="1325"/>
      <c r="R40" s="1325"/>
      <c r="S40" s="1325"/>
      <c r="T40" s="1325"/>
      <c r="U40" s="1325"/>
      <c r="V40" s="1325"/>
      <c r="W40" s="1325"/>
      <c r="X40" s="1325"/>
      <c r="Y40" s="1325"/>
      <c r="Z40" s="1325"/>
      <c r="AA40" s="1325"/>
      <c r="AB40" s="1325"/>
      <c r="AC40" s="819"/>
      <c r="AE40" s="819"/>
      <c r="AF40" s="819"/>
      <c r="AG40" s="819"/>
      <c r="AH40" s="819"/>
      <c r="AI40" s="819"/>
      <c r="AJ40" s="819"/>
      <c r="AK40" s="819"/>
      <c r="AL40" s="819"/>
      <c r="AM40" s="819"/>
      <c r="AN40" s="819"/>
      <c r="AO40" s="819"/>
      <c r="AP40" s="819"/>
      <c r="AQ40" s="819"/>
      <c r="AR40" s="819"/>
      <c r="AS40" s="819"/>
      <c r="AT40" s="819"/>
      <c r="AU40" s="819"/>
      <c r="AV40" s="819"/>
      <c r="AW40" s="819"/>
      <c r="AX40" s="819"/>
      <c r="AY40" s="819"/>
      <c r="AZ40" s="819"/>
      <c r="BA40" s="819"/>
      <c r="BB40" s="819"/>
      <c r="BC40" s="819"/>
      <c r="BD40" s="819"/>
    </row>
    <row r="41" spans="1:56" ht="17.100000000000001" customHeight="1">
      <c r="A41" s="796" t="s">
        <v>1471</v>
      </c>
      <c r="B41" s="819"/>
      <c r="C41" s="819"/>
      <c r="D41" s="819"/>
      <c r="E41" s="819"/>
      <c r="F41" s="819"/>
      <c r="G41" s="819"/>
      <c r="H41" s="819"/>
      <c r="I41" s="819"/>
      <c r="J41" s="819"/>
      <c r="K41" s="819"/>
      <c r="L41" s="819"/>
      <c r="M41" s="819"/>
      <c r="N41" s="819"/>
      <c r="O41" s="819"/>
      <c r="P41" s="819"/>
      <c r="Q41" s="819"/>
      <c r="R41" s="819"/>
      <c r="S41" s="819"/>
      <c r="T41" s="819"/>
      <c r="U41" s="819"/>
      <c r="V41" s="819"/>
      <c r="W41" s="819"/>
      <c r="X41" s="819"/>
      <c r="Y41" s="819"/>
      <c r="Z41" s="819"/>
      <c r="AA41" s="819"/>
      <c r="AB41" s="819"/>
      <c r="AE41" s="819"/>
      <c r="AF41" s="819"/>
      <c r="AG41" s="819"/>
      <c r="AH41" s="819"/>
      <c r="AI41" s="819"/>
      <c r="AJ41" s="819"/>
      <c r="AK41" s="819"/>
      <c r="AL41" s="819"/>
      <c r="AM41" s="819"/>
      <c r="AN41" s="819"/>
      <c r="AO41" s="819"/>
      <c r="AP41" s="819"/>
      <c r="AQ41" s="819"/>
      <c r="AR41" s="819"/>
      <c r="AS41" s="819"/>
      <c r="AT41" s="819"/>
      <c r="AU41" s="819"/>
      <c r="AV41" s="819"/>
      <c r="AW41" s="819"/>
      <c r="AX41" s="819"/>
      <c r="AY41" s="819"/>
      <c r="AZ41" s="819"/>
      <c r="BB41" s="819"/>
      <c r="BC41" s="819"/>
      <c r="BD41" s="819"/>
    </row>
    <row r="42" spans="1:56" ht="14.1" customHeight="1">
      <c r="A42" s="819"/>
      <c r="B42" s="819"/>
      <c r="C42" s="1406"/>
      <c r="D42" s="1406"/>
      <c r="E42" s="1406"/>
      <c r="F42" s="1406"/>
      <c r="G42" s="1406"/>
      <c r="H42" s="1406"/>
      <c r="I42" s="1406"/>
      <c r="J42" s="1406"/>
      <c r="K42" s="1406"/>
      <c r="L42" s="1406"/>
      <c r="M42" s="1406"/>
      <c r="N42" s="1406"/>
      <c r="O42" s="1406"/>
      <c r="P42" s="1406"/>
      <c r="Q42" s="1406"/>
      <c r="R42" s="1406"/>
      <c r="S42" s="1406"/>
      <c r="T42" s="1406"/>
      <c r="U42" s="1406"/>
      <c r="V42" s="1406"/>
      <c r="W42" s="1406"/>
      <c r="X42" s="1406"/>
      <c r="Y42" s="1406"/>
      <c r="Z42" s="1406"/>
      <c r="AA42" s="1406"/>
      <c r="AB42" s="1406"/>
      <c r="AE42" s="819"/>
      <c r="AF42" s="819"/>
      <c r="AG42" s="819"/>
      <c r="AH42" s="819"/>
      <c r="AI42" s="819"/>
      <c r="AJ42" s="819"/>
      <c r="AK42" s="819"/>
      <c r="AL42" s="819"/>
      <c r="AM42" s="819"/>
      <c r="AN42" s="819"/>
      <c r="AO42" s="819"/>
      <c r="AP42" s="819"/>
      <c r="AQ42" s="819"/>
      <c r="AR42" s="819"/>
      <c r="AS42" s="819"/>
      <c r="AT42" s="819"/>
      <c r="AU42" s="819"/>
      <c r="AV42" s="819"/>
      <c r="AW42" s="819"/>
      <c r="AX42" s="819"/>
      <c r="AY42" s="819"/>
      <c r="AZ42" s="819"/>
      <c r="BB42" s="819"/>
      <c r="BC42" s="819"/>
      <c r="BD42" s="819"/>
    </row>
    <row r="43" spans="1:56" ht="14.1" customHeight="1">
      <c r="A43" s="2021" t="s">
        <v>1472</v>
      </c>
      <c r="B43" s="2021"/>
      <c r="C43" s="2021"/>
      <c r="D43" s="2021"/>
      <c r="E43" s="2021"/>
      <c r="F43" s="2021"/>
      <c r="G43" s="2021"/>
      <c r="H43" s="2021"/>
      <c r="I43" s="2021"/>
      <c r="J43" s="2021"/>
      <c r="K43" s="2021"/>
      <c r="L43" s="2021"/>
      <c r="M43" s="2021"/>
      <c r="N43" s="2021"/>
      <c r="O43" s="2021"/>
      <c r="P43" s="2021"/>
      <c r="Q43" s="2021"/>
      <c r="R43" s="2021"/>
      <c r="S43" s="2021"/>
      <c r="U43" s="819"/>
      <c r="V43" s="819"/>
      <c r="W43" s="819"/>
      <c r="X43" s="819"/>
      <c r="Y43" s="819"/>
      <c r="Z43" s="819"/>
      <c r="AA43" s="819"/>
      <c r="AB43" s="819"/>
      <c r="AC43" s="819"/>
      <c r="AE43" s="819"/>
      <c r="AF43" s="819"/>
      <c r="AG43" s="819"/>
      <c r="AH43" s="819"/>
      <c r="AI43" s="819"/>
      <c r="AJ43" s="819"/>
      <c r="AK43" s="819"/>
      <c r="AL43" s="819"/>
      <c r="AM43" s="819"/>
      <c r="AN43" s="819"/>
      <c r="AO43" s="819"/>
      <c r="AP43" s="819"/>
      <c r="AQ43" s="819"/>
      <c r="AR43" s="819"/>
      <c r="AS43" s="819"/>
      <c r="AT43" s="819"/>
      <c r="AU43" s="819"/>
      <c r="AV43" s="819"/>
      <c r="AW43" s="819"/>
      <c r="AX43" s="819"/>
      <c r="AY43" s="819"/>
      <c r="AZ43" s="819"/>
      <c r="BB43" s="819"/>
      <c r="BC43" s="819"/>
      <c r="BD43" s="819"/>
    </row>
    <row r="44" spans="1:56" ht="14.1" customHeight="1">
      <c r="A44" s="1403"/>
      <c r="B44" s="1403"/>
      <c r="C44" s="1403"/>
      <c r="D44" s="1403"/>
      <c r="AB44" s="819"/>
      <c r="AC44" s="819"/>
      <c r="AE44" s="819"/>
      <c r="AF44" s="819"/>
      <c r="AG44" s="819"/>
      <c r="AH44" s="819"/>
      <c r="AI44" s="819"/>
      <c r="AJ44" s="819"/>
      <c r="AK44" s="819"/>
      <c r="AL44" s="819"/>
      <c r="AM44" s="819"/>
      <c r="AN44" s="819"/>
      <c r="AO44" s="819"/>
      <c r="AP44" s="819"/>
      <c r="AQ44" s="819"/>
      <c r="AR44" s="819"/>
      <c r="AS44" s="819"/>
      <c r="AT44" s="819"/>
      <c r="AU44" s="819"/>
      <c r="AV44" s="819"/>
      <c r="AW44" s="819"/>
      <c r="AX44" s="819"/>
      <c r="AY44" s="819"/>
      <c r="AZ44" s="819"/>
      <c r="BB44" s="819"/>
      <c r="BC44" s="819"/>
      <c r="BD44" s="819"/>
    </row>
    <row r="45" spans="1:56" ht="13.5" customHeight="1" thickBot="1">
      <c r="A45" s="1403"/>
      <c r="B45" s="1403"/>
      <c r="C45" s="548"/>
      <c r="D45" s="1403"/>
      <c r="AB45" s="819"/>
      <c r="AC45" s="819"/>
      <c r="AE45" s="819"/>
      <c r="AF45" s="819"/>
      <c r="AG45" s="819"/>
      <c r="AH45" s="819"/>
      <c r="AI45" s="819"/>
      <c r="AJ45" s="819"/>
      <c r="AK45" s="819"/>
      <c r="AL45" s="819"/>
      <c r="AM45" s="819"/>
      <c r="AN45" s="819"/>
      <c r="AO45" s="819"/>
      <c r="AP45" s="819"/>
      <c r="AQ45" s="819"/>
      <c r="AR45" s="819"/>
      <c r="AS45" s="819"/>
      <c r="AT45" s="819"/>
      <c r="AU45" s="819"/>
      <c r="AV45" s="819"/>
      <c r="AW45" s="819"/>
      <c r="AX45" s="819"/>
      <c r="AY45" s="819"/>
      <c r="AZ45" s="819"/>
      <c r="BB45" s="819"/>
      <c r="BC45" s="819"/>
      <c r="BD45" s="819"/>
    </row>
    <row r="46" spans="1:56" ht="14.1" customHeight="1" thickTop="1" thickBot="1">
      <c r="A46" s="1403"/>
      <c r="B46" s="1403"/>
      <c r="C46" s="549"/>
      <c r="D46" s="2015" t="s">
        <v>69</v>
      </c>
      <c r="E46" s="549"/>
      <c r="F46" s="2027" t="s">
        <v>334</v>
      </c>
      <c r="G46" s="2027"/>
      <c r="H46" s="1408"/>
      <c r="I46" s="1408"/>
      <c r="J46" s="1408"/>
      <c r="K46" s="2038" t="s">
        <v>349</v>
      </c>
      <c r="AB46" s="819"/>
      <c r="AC46" s="819"/>
      <c r="AE46" s="819"/>
      <c r="AF46" s="819"/>
      <c r="AG46" s="819"/>
      <c r="AH46" s="819"/>
      <c r="AI46" s="819"/>
      <c r="AJ46" s="819"/>
      <c r="AK46" s="819"/>
      <c r="AL46" s="819"/>
      <c r="AM46" s="819"/>
      <c r="AN46" s="819"/>
      <c r="AO46" s="819"/>
      <c r="AP46" s="819"/>
      <c r="AQ46" s="819"/>
      <c r="AR46" s="819"/>
      <c r="AS46" s="819"/>
      <c r="AT46" s="819"/>
      <c r="AU46" s="819"/>
      <c r="AV46" s="819"/>
      <c r="AW46" s="819"/>
      <c r="AX46" s="819"/>
      <c r="AY46" s="819"/>
      <c r="AZ46" s="819"/>
      <c r="BB46" s="819"/>
      <c r="BC46" s="819"/>
      <c r="BD46" s="819"/>
    </row>
    <row r="47" spans="1:56" ht="12.75" customHeight="1" thickTop="1" thickBot="1">
      <c r="A47" s="1403"/>
      <c r="B47" s="1403"/>
      <c r="C47" s="548"/>
      <c r="D47" s="2016"/>
      <c r="K47" s="2038"/>
      <c r="AB47" s="819"/>
      <c r="AC47" s="819"/>
      <c r="AE47" s="819"/>
      <c r="AF47" s="819"/>
      <c r="AG47" s="819"/>
      <c r="AH47" s="819"/>
      <c r="AI47" s="819"/>
      <c r="AJ47" s="819"/>
      <c r="AK47" s="819"/>
      <c r="AL47" s="819"/>
      <c r="AM47" s="819"/>
      <c r="AN47" s="819"/>
      <c r="AO47" s="819"/>
      <c r="AP47" s="819"/>
      <c r="AQ47" s="819"/>
      <c r="AR47" s="819"/>
      <c r="AS47" s="819"/>
      <c r="AT47" s="819"/>
      <c r="AU47" s="819"/>
      <c r="AV47" s="819"/>
      <c r="AW47" s="819"/>
      <c r="AX47" s="819"/>
      <c r="AY47" s="819"/>
      <c r="AZ47" s="819"/>
      <c r="BB47" s="819"/>
      <c r="BC47" s="819"/>
      <c r="BD47" s="819"/>
    </row>
    <row r="48" spans="1:56" ht="12.75" customHeight="1" thickTop="1">
      <c r="A48" s="1403"/>
      <c r="B48" s="1403"/>
      <c r="C48" s="548"/>
      <c r="D48" s="1403"/>
      <c r="AB48" s="819"/>
      <c r="AC48" s="819"/>
      <c r="AE48" s="819"/>
      <c r="AF48" s="819"/>
      <c r="AG48" s="819"/>
      <c r="AH48" s="819"/>
      <c r="AI48" s="819"/>
      <c r="AJ48" s="819"/>
      <c r="AK48" s="819"/>
      <c r="AL48" s="819"/>
      <c r="AM48" s="819"/>
      <c r="AN48" s="819"/>
      <c r="AO48" s="819"/>
      <c r="AP48" s="819"/>
      <c r="AQ48" s="819"/>
      <c r="AR48" s="819"/>
      <c r="AS48" s="819"/>
      <c r="AT48" s="819"/>
      <c r="AU48" s="819"/>
      <c r="AV48" s="819"/>
      <c r="AW48" s="819"/>
      <c r="AX48" s="819"/>
      <c r="AY48" s="819"/>
      <c r="AZ48" s="819"/>
      <c r="BB48" s="819"/>
      <c r="BC48" s="819"/>
      <c r="BD48" s="819"/>
    </row>
    <row r="49" spans="1:54" ht="14.1" customHeight="1" thickBot="1">
      <c r="A49" s="1403"/>
      <c r="B49" s="1403"/>
      <c r="C49" s="548"/>
      <c r="D49" s="1403"/>
      <c r="AB49" s="819"/>
      <c r="AC49" s="819"/>
      <c r="AE49" s="819"/>
      <c r="AF49" s="819"/>
      <c r="AG49" s="819"/>
      <c r="AH49" s="819"/>
      <c r="AI49" s="819"/>
      <c r="AJ49" s="819"/>
      <c r="AK49" s="819"/>
      <c r="AL49" s="819"/>
      <c r="AM49" s="819"/>
      <c r="AN49" s="819"/>
      <c r="AO49" s="819"/>
      <c r="AP49" s="819"/>
      <c r="AQ49" s="819"/>
      <c r="AR49" s="819"/>
      <c r="AS49" s="819"/>
      <c r="AT49" s="819"/>
      <c r="AU49" s="819"/>
      <c r="AV49" s="819"/>
      <c r="AW49" s="819"/>
      <c r="AX49" s="819"/>
      <c r="AY49" s="819"/>
      <c r="AZ49" s="819"/>
      <c r="BB49" s="819"/>
    </row>
    <row r="50" spans="1:54" ht="14.1" customHeight="1" thickBot="1">
      <c r="A50" s="1403"/>
      <c r="B50" s="1403"/>
      <c r="C50" s="550"/>
      <c r="D50" s="2013" t="s">
        <v>1473</v>
      </c>
      <c r="E50" s="1407"/>
      <c r="F50" s="2029" t="s">
        <v>1474</v>
      </c>
      <c r="G50" s="2029"/>
      <c r="H50" s="2029"/>
      <c r="I50" s="2029"/>
      <c r="J50" s="2029"/>
      <c r="K50" s="2030"/>
      <c r="AB50" s="819"/>
      <c r="AC50" s="819"/>
      <c r="AE50" s="819"/>
      <c r="AF50" s="819"/>
      <c r="AG50" s="819"/>
      <c r="AH50" s="819"/>
      <c r="AI50" s="819"/>
      <c r="AJ50" s="819"/>
      <c r="AK50" s="819"/>
      <c r="AL50" s="819"/>
      <c r="AM50" s="819"/>
      <c r="AN50" s="819"/>
      <c r="AO50" s="819"/>
      <c r="AP50" s="819"/>
      <c r="AQ50" s="819"/>
      <c r="AR50" s="819"/>
      <c r="AS50" s="819"/>
      <c r="AT50" s="819"/>
      <c r="AU50" s="819"/>
      <c r="AV50" s="819"/>
      <c r="AW50" s="819"/>
      <c r="AX50" s="819"/>
      <c r="AY50" s="819"/>
      <c r="AZ50" s="819"/>
      <c r="BB50" s="819"/>
    </row>
    <row r="51" spans="1:54" ht="12.75" customHeight="1" thickBot="1">
      <c r="A51" s="1403"/>
      <c r="B51" s="1403"/>
      <c r="C51" s="548"/>
      <c r="D51" s="2014"/>
      <c r="K51" s="2035"/>
      <c r="AB51" s="819"/>
      <c r="AC51" s="819"/>
      <c r="AE51" s="819"/>
      <c r="AF51" s="819"/>
      <c r="AG51" s="819"/>
      <c r="AH51" s="819"/>
      <c r="AI51" s="819"/>
      <c r="AJ51" s="819"/>
      <c r="AK51" s="819"/>
      <c r="AL51" s="819"/>
      <c r="AM51" s="819"/>
      <c r="AN51" s="819"/>
      <c r="AO51" s="819"/>
      <c r="AP51" s="819"/>
      <c r="AQ51" s="819"/>
      <c r="AR51" s="819"/>
      <c r="AS51" s="819"/>
      <c r="AT51" s="819"/>
      <c r="AU51" s="819"/>
      <c r="AV51" s="819"/>
      <c r="AW51" s="819"/>
      <c r="AX51" s="819"/>
      <c r="AY51" s="819"/>
      <c r="AZ51" s="819"/>
      <c r="BB51" s="819"/>
    </row>
    <row r="52" spans="1:54" ht="12.75" customHeight="1">
      <c r="A52" s="1403"/>
      <c r="B52" s="1403"/>
      <c r="C52" s="548"/>
      <c r="D52" s="1403"/>
      <c r="AB52" s="819"/>
      <c r="AC52" s="819"/>
      <c r="AE52" s="819"/>
      <c r="AF52" s="819"/>
      <c r="AG52" s="819"/>
      <c r="AH52" s="819"/>
      <c r="AI52" s="819"/>
      <c r="AJ52" s="819"/>
      <c r="AK52" s="819"/>
      <c r="AL52" s="819"/>
      <c r="AM52" s="819"/>
      <c r="AN52" s="819"/>
      <c r="AO52" s="819"/>
      <c r="AP52" s="819"/>
      <c r="AQ52" s="819"/>
      <c r="AR52" s="819"/>
      <c r="AS52" s="819"/>
      <c r="AT52" s="819"/>
      <c r="AU52" s="819"/>
      <c r="AV52" s="819"/>
      <c r="AW52" s="819"/>
      <c r="AX52" s="819"/>
      <c r="AY52" s="819"/>
      <c r="AZ52" s="819"/>
      <c r="BB52" s="819"/>
    </row>
    <row r="53" spans="1:54" ht="14.1" customHeight="1" thickBot="1">
      <c r="A53" s="1403"/>
      <c r="B53" s="1403"/>
      <c r="C53" s="548"/>
      <c r="D53" s="1403"/>
      <c r="AB53" s="819"/>
      <c r="AC53" s="819"/>
      <c r="AE53" s="819"/>
      <c r="AF53" s="819"/>
      <c r="AG53" s="819"/>
      <c r="AH53" s="819"/>
      <c r="AI53" s="819"/>
      <c r="AJ53" s="819"/>
      <c r="AK53" s="819"/>
      <c r="AL53" s="819"/>
      <c r="AM53" s="819"/>
      <c r="AN53" s="819"/>
      <c r="AO53" s="819"/>
      <c r="AP53" s="819"/>
      <c r="AQ53" s="819"/>
      <c r="AR53" s="819"/>
      <c r="AS53" s="819"/>
      <c r="AT53" s="819"/>
      <c r="AU53" s="819"/>
      <c r="AV53" s="819"/>
      <c r="AW53" s="819"/>
      <c r="AX53" s="819"/>
      <c r="AY53" s="819"/>
      <c r="AZ53" s="819"/>
      <c r="BB53" s="819"/>
    </row>
    <row r="54" spans="1:54" ht="14.1" customHeight="1" thickTop="1" thickBot="1">
      <c r="A54" s="1403"/>
      <c r="B54" s="1403"/>
      <c r="C54" s="549"/>
      <c r="D54" s="2009" t="s">
        <v>1475</v>
      </c>
      <c r="E54" s="1408"/>
      <c r="F54" s="2027" t="s">
        <v>338</v>
      </c>
      <c r="G54" s="2027"/>
      <c r="H54" s="1408"/>
      <c r="I54" s="1408"/>
      <c r="J54" s="1408"/>
      <c r="K54" s="2030"/>
      <c r="AB54" s="819"/>
      <c r="AC54" s="819"/>
      <c r="AE54" s="819"/>
      <c r="AF54" s="819"/>
      <c r="AG54" s="819"/>
      <c r="AH54" s="819"/>
      <c r="AI54" s="819"/>
      <c r="AJ54" s="819"/>
      <c r="AK54" s="819"/>
      <c r="AL54" s="819"/>
      <c r="AM54" s="819"/>
      <c r="AN54" s="819"/>
      <c r="AO54" s="819"/>
      <c r="AP54" s="819"/>
      <c r="AQ54" s="819"/>
      <c r="AR54" s="819"/>
      <c r="AS54" s="819"/>
      <c r="AT54" s="819"/>
      <c r="AU54" s="819"/>
      <c r="AV54" s="819"/>
      <c r="AW54" s="819"/>
      <c r="AX54" s="819"/>
      <c r="AY54" s="819"/>
      <c r="AZ54" s="819"/>
      <c r="BB54" s="819"/>
    </row>
    <row r="55" spans="1:54" ht="12.75" customHeight="1" thickTop="1" thickBot="1">
      <c r="A55" s="1403"/>
      <c r="B55" s="1403"/>
      <c r="C55" s="548"/>
      <c r="D55" s="2010"/>
      <c r="K55" s="2030"/>
      <c r="AB55" s="819"/>
      <c r="AC55" s="819"/>
      <c r="AE55" s="819"/>
      <c r="AF55" s="819"/>
      <c r="AG55" s="819"/>
      <c r="AH55" s="819"/>
      <c r="AI55" s="819"/>
      <c r="AJ55" s="819"/>
      <c r="AK55" s="819"/>
      <c r="AL55" s="819"/>
      <c r="AM55" s="819"/>
      <c r="AN55" s="819"/>
      <c r="AO55" s="819"/>
      <c r="AP55" s="819"/>
      <c r="AQ55" s="819"/>
      <c r="AR55" s="819"/>
      <c r="AS55" s="819"/>
      <c r="AT55" s="819"/>
      <c r="AU55" s="819"/>
      <c r="AV55" s="819"/>
      <c r="AW55" s="819"/>
      <c r="AX55" s="819"/>
      <c r="AY55" s="819"/>
      <c r="AZ55" s="819"/>
      <c r="BB55" s="819"/>
    </row>
    <row r="56" spans="1:54" ht="12.75" customHeight="1" thickTop="1">
      <c r="A56" s="1403"/>
      <c r="B56" s="1403"/>
      <c r="C56" s="548"/>
      <c r="D56" s="1403"/>
      <c r="AB56" s="819"/>
      <c r="AC56" s="819"/>
      <c r="AE56" s="819"/>
      <c r="AF56" s="819"/>
      <c r="AG56" s="819"/>
      <c r="AH56" s="819"/>
      <c r="AI56" s="819"/>
      <c r="AJ56" s="819"/>
      <c r="AK56" s="819"/>
      <c r="AL56" s="819"/>
      <c r="AM56" s="819"/>
      <c r="AN56" s="819"/>
      <c r="AO56" s="819"/>
      <c r="AP56" s="819"/>
      <c r="AQ56" s="819"/>
      <c r="AR56" s="819"/>
      <c r="AS56" s="819"/>
      <c r="AT56" s="819"/>
      <c r="AU56" s="819"/>
      <c r="AV56" s="819"/>
      <c r="AW56" s="819"/>
      <c r="AX56" s="819"/>
      <c r="AY56" s="819"/>
      <c r="AZ56" s="819"/>
      <c r="BB56" s="819"/>
    </row>
    <row r="57" spans="1:54" ht="14.1" customHeight="1">
      <c r="A57" s="1403"/>
      <c r="B57" s="1403"/>
      <c r="D57" s="1403"/>
      <c r="AB57" s="819"/>
      <c r="AC57" s="819"/>
      <c r="AE57" s="819"/>
      <c r="AF57" s="819"/>
      <c r="AG57" s="819"/>
      <c r="AH57" s="819"/>
      <c r="AI57" s="819"/>
      <c r="AJ57" s="819"/>
      <c r="AK57" s="819"/>
      <c r="AL57" s="819"/>
      <c r="AM57" s="819"/>
      <c r="AN57" s="819"/>
      <c r="AO57" s="819"/>
      <c r="AP57" s="819"/>
      <c r="AQ57" s="819"/>
      <c r="AR57" s="819"/>
      <c r="AS57" s="819"/>
      <c r="AT57" s="819"/>
      <c r="AU57" s="819"/>
      <c r="AV57" s="819"/>
      <c r="AW57" s="819"/>
      <c r="AX57" s="819"/>
      <c r="AY57" s="819"/>
      <c r="AZ57" s="819"/>
      <c r="BB57" s="819"/>
    </row>
    <row r="58" spans="1:54" ht="14.1" customHeight="1">
      <c r="A58" s="1403"/>
      <c r="B58" s="1403"/>
      <c r="C58" s="2008" t="s">
        <v>1476</v>
      </c>
      <c r="D58" s="2008"/>
      <c r="AB58" s="819"/>
      <c r="AC58" s="819"/>
      <c r="AE58" s="819"/>
      <c r="AF58" s="819"/>
      <c r="AG58" s="819"/>
      <c r="AH58" s="819"/>
      <c r="AI58" s="819"/>
      <c r="AJ58" s="819"/>
      <c r="AK58" s="819"/>
      <c r="AL58" s="819"/>
      <c r="AM58" s="819"/>
      <c r="AN58" s="819"/>
      <c r="AO58" s="819"/>
      <c r="AP58" s="819"/>
      <c r="AQ58" s="819"/>
      <c r="AR58" s="819"/>
      <c r="AS58" s="819"/>
      <c r="AT58" s="819"/>
      <c r="AU58" s="819"/>
      <c r="AV58" s="819"/>
      <c r="AW58" s="819"/>
      <c r="AX58" s="819"/>
      <c r="AY58" s="819"/>
      <c r="AZ58" s="819"/>
      <c r="BB58" s="819"/>
    </row>
    <row r="59" spans="1:54" ht="14.1" customHeight="1">
      <c r="A59" s="819"/>
      <c r="B59" s="819"/>
      <c r="C59" s="819"/>
      <c r="D59" s="2028" t="s">
        <v>1477</v>
      </c>
      <c r="E59" s="2028"/>
      <c r="F59" s="2028"/>
      <c r="G59" s="2028"/>
      <c r="H59" s="2028"/>
      <c r="I59" s="2028"/>
      <c r="J59" s="2028"/>
      <c r="K59" s="2028"/>
      <c r="L59" s="2028"/>
      <c r="M59" s="2028"/>
      <c r="N59" s="2028"/>
      <c r="O59" s="2028"/>
      <c r="P59" s="2028"/>
      <c r="Q59" s="2028"/>
      <c r="R59" s="2028"/>
      <c r="S59" s="2028"/>
      <c r="T59" s="2028"/>
      <c r="U59" s="2028"/>
      <c r="V59" s="2028"/>
      <c r="W59" s="2028"/>
      <c r="X59" s="2028"/>
      <c r="Y59" s="2028"/>
      <c r="Z59" s="2028"/>
      <c r="AA59" s="2028"/>
      <c r="AB59" s="2028"/>
      <c r="AC59" s="819"/>
      <c r="AE59" s="819"/>
      <c r="AF59" s="819"/>
      <c r="AG59" s="819"/>
      <c r="AH59" s="819"/>
      <c r="AI59" s="819"/>
      <c r="AJ59" s="819"/>
      <c r="AK59" s="819"/>
      <c r="AL59" s="819"/>
      <c r="AM59" s="819"/>
      <c r="AN59" s="819"/>
      <c r="AO59" s="819"/>
      <c r="AP59" s="819"/>
      <c r="AQ59" s="819"/>
      <c r="AR59" s="819"/>
      <c r="AS59" s="819"/>
      <c r="AT59" s="819"/>
      <c r="AU59" s="819"/>
      <c r="AV59" s="819"/>
      <c r="AW59" s="819"/>
      <c r="AX59" s="819"/>
      <c r="AY59" s="819"/>
      <c r="AZ59" s="819"/>
      <c r="BB59" s="819"/>
    </row>
    <row r="60" spans="1:54" ht="14.1" customHeight="1" thickBot="1">
      <c r="B60" s="1323"/>
      <c r="C60" s="1323"/>
      <c r="D60" s="1331"/>
      <c r="E60" s="1331"/>
      <c r="F60" s="1331"/>
      <c r="G60" s="1331"/>
      <c r="H60" s="1331"/>
      <c r="I60" s="1331"/>
      <c r="J60" s="1331"/>
      <c r="K60" s="1331"/>
      <c r="L60" s="1331"/>
      <c r="M60" s="1331"/>
      <c r="N60" s="1331"/>
      <c r="O60" s="1331"/>
      <c r="P60" s="1331"/>
      <c r="Q60" s="1331"/>
      <c r="R60" s="1331"/>
      <c r="S60" s="1331"/>
      <c r="T60" s="1331"/>
      <c r="U60" s="1331"/>
      <c r="V60" s="1331"/>
      <c r="W60" s="1331"/>
      <c r="X60" s="1331"/>
      <c r="Y60" s="1331"/>
      <c r="Z60" s="1331"/>
      <c r="AA60" s="1331"/>
      <c r="AB60" s="1331"/>
      <c r="AC60" s="819"/>
      <c r="AE60" s="819"/>
      <c r="AF60" s="819"/>
      <c r="AG60" s="819"/>
      <c r="AH60" s="819"/>
      <c r="AI60" s="819"/>
      <c r="AJ60" s="819"/>
      <c r="AK60" s="819"/>
      <c r="AL60" s="819"/>
      <c r="AM60" s="819"/>
      <c r="AN60" s="819"/>
      <c r="AO60" s="819"/>
      <c r="AP60" s="819"/>
      <c r="AQ60" s="819"/>
      <c r="AR60" s="819"/>
      <c r="AS60" s="819"/>
      <c r="AT60" s="819"/>
      <c r="AU60" s="819"/>
      <c r="AV60" s="819"/>
      <c r="AW60" s="819"/>
      <c r="AX60" s="819"/>
      <c r="AY60" s="819"/>
      <c r="AZ60" s="819"/>
      <c r="BA60" s="819"/>
    </row>
    <row r="61" spans="1:54" ht="14.1" customHeight="1" thickTop="1">
      <c r="B61" s="819"/>
      <c r="C61" s="819"/>
      <c r="D61" s="819"/>
      <c r="E61" s="819"/>
      <c r="F61" s="819"/>
      <c r="G61" s="819"/>
      <c r="H61" s="819"/>
      <c r="I61" s="819"/>
      <c r="J61" s="819"/>
      <c r="K61" s="819"/>
      <c r="L61" s="819"/>
      <c r="M61" s="819"/>
      <c r="N61" s="819"/>
      <c r="O61" s="819"/>
      <c r="P61" s="819"/>
      <c r="Q61" s="819"/>
      <c r="R61" s="819"/>
      <c r="S61" s="819"/>
      <c r="T61" s="819"/>
      <c r="U61" s="819"/>
      <c r="V61" s="819"/>
      <c r="W61" s="819"/>
      <c r="X61" s="819"/>
      <c r="Y61" s="819"/>
      <c r="Z61" s="819"/>
      <c r="AA61" s="819"/>
      <c r="AB61" s="819"/>
      <c r="AC61" s="819"/>
      <c r="AE61" s="819"/>
      <c r="AF61" s="819"/>
      <c r="AG61" s="819"/>
      <c r="AH61" s="819"/>
      <c r="AI61" s="819"/>
      <c r="AJ61" s="819"/>
      <c r="AK61" s="819"/>
      <c r="AL61" s="819"/>
      <c r="AM61" s="819"/>
      <c r="AN61" s="819"/>
      <c r="AO61" s="819"/>
      <c r="AP61" s="819"/>
      <c r="AQ61" s="819"/>
      <c r="AR61" s="819"/>
      <c r="AS61" s="819"/>
      <c r="AT61" s="819"/>
      <c r="AU61" s="819"/>
      <c r="AV61" s="819"/>
      <c r="AW61" s="819"/>
      <c r="AX61" s="819"/>
      <c r="AY61" s="819"/>
      <c r="AZ61" s="819"/>
      <c r="BA61" s="819"/>
    </row>
    <row r="62" spans="1:54" ht="14.1" customHeight="1" thickBot="1">
      <c r="A62" s="1403"/>
      <c r="B62" s="1403"/>
      <c r="C62" s="548"/>
      <c r="D62" s="1403"/>
      <c r="V62" s="819"/>
      <c r="W62" s="819"/>
      <c r="X62" s="819"/>
      <c r="Y62" s="819"/>
      <c r="Z62" s="819"/>
      <c r="AA62" s="819"/>
      <c r="AB62" s="819"/>
      <c r="AC62" s="819"/>
      <c r="AE62" s="819"/>
      <c r="AF62" s="819"/>
      <c r="AG62" s="819"/>
      <c r="AH62" s="819"/>
      <c r="AI62" s="819"/>
      <c r="AJ62" s="819"/>
      <c r="AK62" s="819"/>
      <c r="AL62" s="819"/>
      <c r="AM62" s="819"/>
      <c r="AN62" s="819"/>
      <c r="AO62" s="819"/>
      <c r="AP62" s="819"/>
      <c r="AQ62" s="819"/>
      <c r="AR62" s="819"/>
      <c r="AS62" s="819"/>
      <c r="AT62" s="819"/>
      <c r="AU62" s="819"/>
      <c r="AV62" s="819"/>
      <c r="AW62" s="819"/>
      <c r="AX62" s="819"/>
      <c r="AY62" s="819"/>
      <c r="AZ62" s="819"/>
      <c r="BA62" s="819"/>
    </row>
    <row r="63" spans="1:54" ht="14.1" customHeight="1" thickTop="1" thickBot="1">
      <c r="A63" s="1403"/>
      <c r="B63" s="1403"/>
      <c r="C63" s="549"/>
      <c r="D63" s="2015" t="s">
        <v>69</v>
      </c>
      <c r="E63" s="549"/>
      <c r="F63" s="2027" t="s">
        <v>334</v>
      </c>
      <c r="G63" s="2027"/>
      <c r="H63" s="1408"/>
      <c r="I63" s="1408"/>
      <c r="J63" s="1408"/>
      <c r="K63" s="2009" t="s">
        <v>1478</v>
      </c>
      <c r="L63" s="1408"/>
      <c r="M63" s="549"/>
      <c r="N63" s="2009" t="s">
        <v>1479</v>
      </c>
      <c r="O63" s="1408"/>
      <c r="P63" s="2027" t="s">
        <v>1480</v>
      </c>
      <c r="Q63" s="2027"/>
      <c r="R63" s="2027"/>
      <c r="S63" s="2027"/>
      <c r="T63" s="551"/>
      <c r="V63" s="819"/>
      <c r="W63" s="819"/>
      <c r="X63" s="819"/>
      <c r="Y63" s="819"/>
      <c r="Z63" s="819"/>
      <c r="AA63" s="819"/>
      <c r="AB63" s="819"/>
      <c r="AC63" s="819"/>
      <c r="AE63" s="819"/>
      <c r="AF63" s="819"/>
      <c r="AG63" s="819"/>
      <c r="AH63" s="819"/>
      <c r="AI63" s="819"/>
      <c r="AJ63" s="819"/>
      <c r="AK63" s="819"/>
      <c r="AL63" s="819"/>
      <c r="AM63" s="819"/>
      <c r="AN63" s="819"/>
      <c r="AO63" s="819"/>
      <c r="AP63" s="819"/>
      <c r="AQ63" s="819"/>
      <c r="AR63" s="819"/>
      <c r="AS63" s="819"/>
      <c r="AT63" s="819"/>
      <c r="AU63" s="819"/>
      <c r="AV63" s="819"/>
      <c r="AW63" s="819"/>
      <c r="AX63" s="819"/>
      <c r="AY63" s="819"/>
      <c r="AZ63" s="819"/>
      <c r="BB63" s="819"/>
    </row>
    <row r="64" spans="1:54" ht="12.75" customHeight="1" thickTop="1" thickBot="1">
      <c r="A64" s="1403"/>
      <c r="B64" s="1403"/>
      <c r="C64" s="548"/>
      <c r="D64" s="2016"/>
      <c r="K64" s="2010"/>
      <c r="M64" s="548"/>
      <c r="N64" s="2010"/>
      <c r="V64" s="819"/>
      <c r="W64" s="819"/>
      <c r="X64" s="819"/>
      <c r="Y64" s="819"/>
      <c r="Z64" s="819"/>
      <c r="AA64" s="819"/>
      <c r="AB64" s="819"/>
      <c r="AC64" s="819"/>
      <c r="AE64" s="819"/>
      <c r="AF64" s="819"/>
      <c r="AG64" s="819"/>
      <c r="AH64" s="819"/>
      <c r="AI64" s="819"/>
      <c r="AJ64" s="819"/>
      <c r="AK64" s="819"/>
      <c r="AL64" s="819"/>
      <c r="AM64" s="819"/>
      <c r="AN64" s="819"/>
      <c r="AO64" s="819"/>
      <c r="AP64" s="819"/>
      <c r="AQ64" s="819"/>
      <c r="AR64" s="819"/>
      <c r="AS64" s="819"/>
      <c r="AT64" s="819"/>
      <c r="AU64" s="819"/>
      <c r="AV64" s="819"/>
      <c r="AW64" s="819"/>
      <c r="AX64" s="819"/>
      <c r="AY64" s="819"/>
      <c r="AZ64" s="819"/>
      <c r="BB64" s="819"/>
    </row>
    <row r="65" spans="1:54" ht="12.75" customHeight="1" thickTop="1">
      <c r="A65" s="1403"/>
      <c r="B65" s="1403"/>
      <c r="C65" s="548"/>
      <c r="D65" s="1403"/>
      <c r="M65" s="548"/>
      <c r="N65" s="1403"/>
      <c r="U65" s="819"/>
      <c r="V65" s="819"/>
      <c r="W65" s="819"/>
      <c r="X65" s="819"/>
      <c r="Y65" s="819"/>
      <c r="Z65" s="819"/>
      <c r="AA65" s="819"/>
      <c r="AB65" s="819"/>
      <c r="AC65" s="819"/>
      <c r="AE65" s="819"/>
      <c r="AF65" s="819"/>
      <c r="AG65" s="819"/>
      <c r="AH65" s="819"/>
      <c r="AI65" s="819"/>
      <c r="AJ65" s="819"/>
      <c r="AK65" s="819"/>
      <c r="AL65" s="819"/>
      <c r="AM65" s="819"/>
      <c r="AN65" s="819"/>
      <c r="AO65" s="819"/>
      <c r="AP65" s="819"/>
      <c r="AQ65" s="819"/>
      <c r="AR65" s="819"/>
      <c r="AS65" s="819"/>
      <c r="AT65" s="819"/>
      <c r="AU65" s="819"/>
      <c r="AV65" s="819"/>
      <c r="AW65" s="819"/>
      <c r="AX65" s="819"/>
      <c r="AY65" s="819"/>
      <c r="AZ65" s="819"/>
      <c r="BB65" s="819"/>
    </row>
    <row r="66" spans="1:54" ht="14.1" customHeight="1" thickBot="1">
      <c r="A66" s="1403"/>
      <c r="B66" s="1403"/>
      <c r="C66" s="548"/>
      <c r="D66" s="1403"/>
      <c r="M66" s="552"/>
      <c r="U66" s="819"/>
      <c r="V66" s="819"/>
      <c r="W66" s="819"/>
      <c r="X66" s="819"/>
      <c r="Y66" s="819"/>
      <c r="Z66" s="819"/>
      <c r="AA66" s="819"/>
      <c r="AB66" s="819"/>
      <c r="AC66" s="819"/>
      <c r="AE66" s="819"/>
      <c r="AF66" s="819"/>
      <c r="AG66" s="819"/>
      <c r="AH66" s="819"/>
      <c r="AI66" s="819"/>
      <c r="AJ66" s="819"/>
      <c r="AK66" s="819"/>
      <c r="AL66" s="819"/>
      <c r="AM66" s="819"/>
      <c r="AN66" s="819"/>
      <c r="AO66" s="819"/>
      <c r="AP66" s="819"/>
      <c r="AQ66" s="819"/>
      <c r="AR66" s="819"/>
      <c r="AS66" s="819"/>
      <c r="AT66" s="819"/>
      <c r="AU66" s="819"/>
      <c r="AV66" s="819"/>
      <c r="AW66" s="819"/>
      <c r="AX66" s="819"/>
      <c r="AY66" s="819"/>
      <c r="AZ66" s="819"/>
      <c r="BB66" s="819"/>
    </row>
    <row r="67" spans="1:54" ht="14.1" customHeight="1" thickBot="1">
      <c r="A67" s="1403"/>
      <c r="B67" s="1403"/>
      <c r="C67" s="550"/>
      <c r="D67" s="2013" t="s">
        <v>1473</v>
      </c>
      <c r="E67" s="1407"/>
      <c r="F67" s="2029" t="s">
        <v>341</v>
      </c>
      <c r="G67" s="2029"/>
      <c r="H67" s="1407"/>
      <c r="I67" s="1407"/>
      <c r="J67" s="1407"/>
      <c r="K67" s="2030"/>
      <c r="M67" s="550"/>
      <c r="N67" s="2013" t="s">
        <v>1481</v>
      </c>
      <c r="O67" s="1407"/>
      <c r="P67" s="2029" t="s">
        <v>1482</v>
      </c>
      <c r="Q67" s="2029"/>
      <c r="R67" s="2029"/>
      <c r="S67" s="2029"/>
      <c r="T67" s="2029"/>
      <c r="U67" s="819"/>
      <c r="V67" s="819"/>
      <c r="W67" s="819"/>
      <c r="X67" s="819"/>
      <c r="Y67" s="819"/>
      <c r="Z67" s="819"/>
      <c r="AA67" s="819"/>
      <c r="AB67" s="819"/>
      <c r="AC67" s="819"/>
      <c r="AE67" s="819"/>
      <c r="AF67" s="819"/>
      <c r="AG67" s="819"/>
      <c r="AH67" s="819"/>
      <c r="AI67" s="819"/>
      <c r="AJ67" s="819"/>
      <c r="AK67" s="819"/>
      <c r="AL67" s="819"/>
      <c r="AM67" s="819"/>
      <c r="AN67" s="819"/>
      <c r="AO67" s="819"/>
      <c r="AP67" s="819"/>
      <c r="AQ67" s="819"/>
      <c r="AR67" s="819"/>
      <c r="AS67" s="819"/>
      <c r="AT67" s="819"/>
      <c r="AU67" s="819"/>
      <c r="AV67" s="819"/>
      <c r="AW67" s="819"/>
      <c r="AX67" s="819"/>
      <c r="AY67" s="819"/>
      <c r="AZ67" s="819"/>
      <c r="BB67" s="819"/>
    </row>
    <row r="68" spans="1:54" ht="12.75" customHeight="1" thickBot="1">
      <c r="A68" s="1403"/>
      <c r="B68" s="1403"/>
      <c r="C68" s="548"/>
      <c r="D68" s="2014"/>
      <c r="K68" s="2030"/>
      <c r="M68" s="548"/>
      <c r="N68" s="2014"/>
      <c r="U68" s="819"/>
      <c r="V68" s="819"/>
      <c r="W68" s="819"/>
      <c r="X68" s="819"/>
      <c r="Y68" s="819"/>
      <c r="Z68" s="819"/>
      <c r="AA68" s="819"/>
      <c r="AB68" s="819"/>
      <c r="AC68" s="819"/>
      <c r="AE68" s="819"/>
      <c r="AF68" s="819"/>
      <c r="AG68" s="819"/>
      <c r="AH68" s="819"/>
      <c r="AI68" s="819"/>
      <c r="AJ68" s="819"/>
      <c r="AK68" s="819"/>
      <c r="AL68" s="819"/>
      <c r="AM68" s="819"/>
      <c r="AN68" s="819"/>
      <c r="AO68" s="819"/>
      <c r="AP68" s="819"/>
      <c r="AQ68" s="819"/>
      <c r="AR68" s="819"/>
      <c r="AS68" s="819"/>
      <c r="AT68" s="819"/>
      <c r="AU68" s="819"/>
      <c r="AV68" s="819"/>
      <c r="AW68" s="819"/>
      <c r="AX68" s="819"/>
      <c r="AY68" s="819"/>
      <c r="AZ68" s="819"/>
      <c r="BB68" s="819"/>
    </row>
    <row r="69" spans="1:54" ht="12.75" customHeight="1">
      <c r="A69" s="1403"/>
      <c r="B69" s="1403"/>
      <c r="C69" s="548"/>
      <c r="D69" s="1403"/>
      <c r="M69" s="548"/>
      <c r="N69" s="1403"/>
      <c r="U69" s="819"/>
      <c r="V69" s="819"/>
      <c r="W69" s="819"/>
      <c r="X69" s="819"/>
      <c r="Y69" s="819"/>
      <c r="Z69" s="819"/>
      <c r="AA69" s="819"/>
      <c r="AB69" s="819"/>
      <c r="AC69" s="819"/>
      <c r="AE69" s="819"/>
      <c r="AF69" s="819"/>
      <c r="AG69" s="819"/>
      <c r="AH69" s="819"/>
      <c r="AI69" s="819"/>
      <c r="AJ69" s="819"/>
      <c r="AK69" s="819"/>
      <c r="AL69" s="819"/>
      <c r="AM69" s="819"/>
      <c r="AN69" s="819"/>
      <c r="AO69" s="819"/>
      <c r="AP69" s="819"/>
      <c r="AQ69" s="819"/>
      <c r="AR69" s="819"/>
      <c r="AS69" s="819"/>
      <c r="AT69" s="819"/>
      <c r="AU69" s="819"/>
      <c r="AV69" s="819"/>
      <c r="AW69" s="819"/>
      <c r="AX69" s="819"/>
      <c r="AY69" s="819"/>
      <c r="AZ69" s="819"/>
      <c r="BB69" s="819"/>
    </row>
    <row r="70" spans="1:54" ht="14.1" customHeight="1" thickBot="1">
      <c r="A70" s="1403"/>
      <c r="B70" s="1403"/>
      <c r="C70" s="548"/>
      <c r="D70" s="1403"/>
      <c r="M70" s="552"/>
      <c r="U70" s="819"/>
      <c r="V70" s="819"/>
      <c r="W70" s="819"/>
      <c r="X70" s="819"/>
      <c r="Y70" s="819"/>
      <c r="Z70" s="819"/>
      <c r="AA70" s="819"/>
      <c r="AB70" s="819"/>
      <c r="AC70" s="819"/>
      <c r="AE70" s="819"/>
      <c r="AF70" s="819"/>
      <c r="AG70" s="819"/>
      <c r="AH70" s="819"/>
      <c r="AI70" s="819"/>
      <c r="AJ70" s="819"/>
      <c r="AK70" s="819"/>
      <c r="AL70" s="819"/>
      <c r="AM70" s="819"/>
      <c r="AN70" s="819"/>
      <c r="AO70" s="819"/>
      <c r="AP70" s="819"/>
      <c r="AQ70" s="819"/>
      <c r="AR70" s="819"/>
      <c r="AS70" s="819"/>
      <c r="AT70" s="819"/>
      <c r="AU70" s="819"/>
      <c r="AV70" s="819"/>
      <c r="AW70" s="819"/>
      <c r="AX70" s="819"/>
      <c r="AY70" s="819"/>
      <c r="AZ70" s="819"/>
      <c r="BB70" s="819"/>
    </row>
    <row r="71" spans="1:54" ht="14.1" customHeight="1" thickTop="1" thickBot="1">
      <c r="A71" s="1403"/>
      <c r="B71" s="1403"/>
      <c r="C71" s="550"/>
      <c r="D71" s="2013" t="s">
        <v>1475</v>
      </c>
      <c r="E71" s="1407"/>
      <c r="F71" s="2029" t="s">
        <v>338</v>
      </c>
      <c r="G71" s="2029"/>
      <c r="H71" s="1407"/>
      <c r="I71" s="1407"/>
      <c r="J71" s="1407"/>
      <c r="K71" s="2030"/>
      <c r="M71" s="549"/>
      <c r="N71" s="2009" t="s">
        <v>1483</v>
      </c>
      <c r="O71" s="1408"/>
      <c r="P71" s="2027" t="s">
        <v>1484</v>
      </c>
      <c r="Q71" s="2027"/>
      <c r="R71" s="2027"/>
      <c r="S71" s="2027"/>
      <c r="T71" s="551"/>
      <c r="U71" s="819"/>
      <c r="V71" s="819"/>
      <c r="W71" s="819"/>
      <c r="X71" s="819"/>
      <c r="Y71" s="819"/>
      <c r="Z71" s="819"/>
      <c r="AA71" s="819"/>
      <c r="AB71" s="819"/>
      <c r="AC71" s="819"/>
      <c r="AE71" s="819"/>
      <c r="AF71" s="819"/>
      <c r="AG71" s="819"/>
      <c r="AH71" s="819"/>
      <c r="AI71" s="819"/>
      <c r="AJ71" s="819"/>
      <c r="AK71" s="819"/>
      <c r="AL71" s="819"/>
      <c r="AM71" s="819"/>
      <c r="AN71" s="819"/>
      <c r="AO71" s="819"/>
      <c r="AP71" s="819"/>
      <c r="AQ71" s="819"/>
      <c r="AR71" s="819"/>
      <c r="AS71" s="819"/>
      <c r="AT71" s="819"/>
      <c r="AU71" s="819"/>
      <c r="AV71" s="819"/>
      <c r="AW71" s="819"/>
      <c r="AX71" s="819"/>
      <c r="AY71" s="819"/>
      <c r="AZ71" s="819"/>
      <c r="BB71" s="819"/>
    </row>
    <row r="72" spans="1:54" ht="12.75" customHeight="1" thickBot="1">
      <c r="A72" s="1403"/>
      <c r="B72" s="1403"/>
      <c r="C72" s="548"/>
      <c r="D72" s="2014"/>
      <c r="K72" s="2030"/>
      <c r="M72" s="548"/>
      <c r="N72" s="2010"/>
      <c r="U72" s="819"/>
      <c r="V72" s="819"/>
      <c r="W72" s="819"/>
      <c r="X72" s="819"/>
      <c r="Y72" s="819"/>
      <c r="Z72" s="819"/>
      <c r="AA72" s="819"/>
      <c r="AB72" s="819"/>
      <c r="AC72" s="819"/>
      <c r="AE72" s="819"/>
      <c r="AF72" s="819"/>
      <c r="AG72" s="819"/>
      <c r="AH72" s="819"/>
      <c r="AI72" s="819"/>
      <c r="AJ72" s="819"/>
      <c r="AK72" s="819"/>
      <c r="AL72" s="819"/>
      <c r="AM72" s="819"/>
      <c r="AN72" s="819"/>
      <c r="AO72" s="819"/>
      <c r="AP72" s="819"/>
      <c r="AQ72" s="819"/>
      <c r="AR72" s="819"/>
      <c r="AS72" s="819"/>
      <c r="AT72" s="819"/>
      <c r="AU72" s="819"/>
      <c r="AV72" s="819"/>
      <c r="AW72" s="819"/>
      <c r="AX72" s="819"/>
      <c r="AY72" s="819"/>
      <c r="AZ72" s="819"/>
      <c r="BB72" s="819"/>
    </row>
    <row r="73" spans="1:54" ht="12.75" customHeight="1">
      <c r="A73" s="1403"/>
      <c r="B73" s="1403"/>
      <c r="C73" s="548"/>
      <c r="D73" s="1403"/>
      <c r="M73" s="548"/>
      <c r="N73" s="1403"/>
      <c r="U73" s="819"/>
      <c r="V73" s="819"/>
      <c r="W73" s="819"/>
      <c r="X73" s="819"/>
      <c r="Y73" s="819"/>
      <c r="Z73" s="819"/>
      <c r="AA73" s="819"/>
      <c r="AB73" s="819"/>
      <c r="AC73" s="819"/>
      <c r="AE73" s="819"/>
      <c r="AF73" s="819"/>
      <c r="AG73" s="819"/>
      <c r="AH73" s="819"/>
      <c r="AI73" s="819"/>
      <c r="AJ73" s="819"/>
      <c r="AK73" s="819"/>
      <c r="AL73" s="819"/>
      <c r="AM73" s="819"/>
      <c r="AN73" s="819"/>
      <c r="AO73" s="819"/>
      <c r="AP73" s="819"/>
      <c r="AQ73" s="819"/>
      <c r="AR73" s="819"/>
      <c r="AS73" s="819"/>
      <c r="AT73" s="819"/>
      <c r="AU73" s="819"/>
      <c r="AV73" s="819"/>
      <c r="AW73" s="819"/>
      <c r="AX73" s="819"/>
      <c r="AY73" s="819"/>
      <c r="AZ73" s="819"/>
      <c r="BB73" s="819"/>
    </row>
    <row r="74" spans="1:54" ht="14.1" customHeight="1">
      <c r="A74" s="1403"/>
      <c r="B74" s="2011" t="s">
        <v>349</v>
      </c>
      <c r="C74" s="2011"/>
      <c r="D74" s="1403"/>
      <c r="U74" s="819"/>
      <c r="V74" s="819"/>
      <c r="W74" s="819"/>
      <c r="X74" s="819"/>
      <c r="Y74" s="819"/>
      <c r="Z74" s="819"/>
      <c r="AA74" s="819"/>
      <c r="AB74" s="819"/>
      <c r="AC74" s="819"/>
      <c r="AE74" s="819"/>
      <c r="AF74" s="819"/>
      <c r="AG74" s="819"/>
      <c r="AH74" s="819"/>
      <c r="AI74" s="819"/>
      <c r="AJ74" s="819"/>
      <c r="AK74" s="819"/>
      <c r="AL74" s="819"/>
      <c r="AM74" s="819"/>
      <c r="AN74" s="819"/>
      <c r="AO74" s="819"/>
      <c r="AP74" s="819"/>
      <c r="AQ74" s="819"/>
      <c r="AR74" s="819"/>
      <c r="AS74" s="819"/>
      <c r="AT74" s="819"/>
      <c r="AU74" s="819"/>
      <c r="AV74" s="819"/>
      <c r="AW74" s="819"/>
      <c r="AX74" s="819"/>
      <c r="AY74" s="819"/>
      <c r="AZ74" s="819"/>
      <c r="BB74" s="819"/>
    </row>
    <row r="75" spans="1:54" ht="13.5" customHeight="1">
      <c r="A75" s="1403"/>
      <c r="B75" s="2011"/>
      <c r="C75" s="2011"/>
      <c r="D75" s="1403"/>
      <c r="U75" s="819"/>
      <c r="V75" s="819"/>
      <c r="W75" s="819"/>
      <c r="X75" s="819"/>
      <c r="Y75" s="819"/>
      <c r="Z75" s="819"/>
      <c r="AA75" s="819"/>
      <c r="AB75" s="819"/>
      <c r="AC75" s="819"/>
      <c r="AE75" s="819"/>
      <c r="AF75" s="819"/>
      <c r="AG75" s="819"/>
      <c r="AH75" s="819"/>
      <c r="AI75" s="819"/>
      <c r="AJ75" s="819"/>
      <c r="AK75" s="819"/>
      <c r="AL75" s="819"/>
      <c r="AM75" s="819"/>
      <c r="AN75" s="819"/>
      <c r="AO75" s="819"/>
      <c r="AP75" s="819"/>
      <c r="AQ75" s="819"/>
      <c r="AR75" s="819"/>
      <c r="AS75" s="819"/>
      <c r="AT75" s="819"/>
      <c r="AU75" s="819"/>
      <c r="AV75" s="819"/>
      <c r="AW75" s="819"/>
      <c r="AX75" s="819"/>
      <c r="AY75" s="819"/>
      <c r="AZ75" s="819"/>
      <c r="BB75" s="819"/>
    </row>
    <row r="76" spans="1:54" ht="14.1" customHeight="1">
      <c r="A76" s="1403"/>
      <c r="B76" s="1403"/>
      <c r="C76" s="2008" t="s">
        <v>1485</v>
      </c>
      <c r="D76" s="2008"/>
      <c r="U76" s="819"/>
      <c r="V76" s="819"/>
      <c r="W76" s="819"/>
      <c r="X76" s="819"/>
      <c r="Y76" s="819"/>
      <c r="Z76" s="819"/>
      <c r="AA76" s="819"/>
      <c r="AB76" s="819"/>
      <c r="AC76" s="819"/>
      <c r="AE76" s="819"/>
      <c r="AF76" s="819"/>
      <c r="AG76" s="819"/>
      <c r="AH76" s="819"/>
      <c r="AI76" s="819"/>
      <c r="AJ76" s="819"/>
      <c r="AK76" s="819"/>
      <c r="AL76" s="819"/>
      <c r="AM76" s="819"/>
      <c r="AN76" s="819"/>
      <c r="AO76" s="819"/>
      <c r="AP76" s="819"/>
      <c r="AQ76" s="819"/>
      <c r="AR76" s="819"/>
      <c r="AS76" s="819"/>
      <c r="AT76" s="819"/>
      <c r="AU76" s="819"/>
      <c r="AV76" s="819"/>
      <c r="AW76" s="819"/>
      <c r="AX76" s="819"/>
      <c r="AY76" s="819"/>
      <c r="AZ76" s="819"/>
      <c r="BB76" s="819"/>
    </row>
    <row r="77" spans="1:54" ht="14.1" customHeight="1">
      <c r="A77" s="819"/>
      <c r="B77" s="819"/>
      <c r="C77" s="819"/>
      <c r="D77" s="2025" t="s">
        <v>1486</v>
      </c>
      <c r="E77" s="2025"/>
      <c r="F77" s="2025"/>
      <c r="G77" s="2025"/>
      <c r="H77" s="2025"/>
      <c r="I77" s="2025"/>
      <c r="J77" s="2025"/>
      <c r="K77" s="2025"/>
      <c r="L77" s="2025"/>
      <c r="M77" s="2025"/>
      <c r="N77" s="2025"/>
      <c r="O77" s="2025"/>
      <c r="P77" s="2025"/>
      <c r="Q77" s="2025"/>
      <c r="R77" s="2025"/>
      <c r="S77" s="2025"/>
      <c r="T77" s="2025"/>
      <c r="U77" s="2025"/>
      <c r="V77" s="2025"/>
      <c r="W77" s="2025"/>
      <c r="X77" s="2025"/>
      <c r="Y77" s="2025"/>
      <c r="Z77" s="2025"/>
      <c r="AA77" s="2025"/>
      <c r="AB77" s="2025"/>
      <c r="AC77" s="819"/>
      <c r="AE77" s="819"/>
      <c r="AF77" s="819"/>
      <c r="AG77" s="819"/>
      <c r="AH77" s="819"/>
      <c r="AI77" s="819"/>
      <c r="AJ77" s="819"/>
      <c r="AK77" s="819"/>
      <c r="AL77" s="819"/>
      <c r="AM77" s="819"/>
      <c r="AN77" s="819"/>
      <c r="AO77" s="819"/>
      <c r="AP77" s="819"/>
      <c r="AQ77" s="819"/>
      <c r="AR77" s="819"/>
      <c r="AS77" s="819"/>
      <c r="AT77" s="819"/>
      <c r="AU77" s="819"/>
      <c r="AV77" s="819"/>
      <c r="AW77" s="819"/>
      <c r="AX77" s="819"/>
      <c r="AY77" s="819"/>
      <c r="AZ77" s="819"/>
      <c r="BB77" s="819"/>
    </row>
    <row r="78" spans="1:54" ht="14.1" customHeight="1">
      <c r="A78" s="819"/>
      <c r="B78" s="819"/>
      <c r="C78" s="819"/>
      <c r="D78" s="2025"/>
      <c r="E78" s="2025"/>
      <c r="F78" s="2025"/>
      <c r="G78" s="2025"/>
      <c r="H78" s="2025"/>
      <c r="I78" s="2025"/>
      <c r="J78" s="2025"/>
      <c r="K78" s="2025"/>
      <c r="L78" s="2025"/>
      <c r="M78" s="2025"/>
      <c r="N78" s="2025"/>
      <c r="O78" s="2025"/>
      <c r="P78" s="2025"/>
      <c r="Q78" s="2025"/>
      <c r="R78" s="2025"/>
      <c r="S78" s="2025"/>
      <c r="T78" s="2025"/>
      <c r="U78" s="2025"/>
      <c r="V78" s="2025"/>
      <c r="W78" s="2025"/>
      <c r="X78" s="2025"/>
      <c r="Y78" s="2025"/>
      <c r="Z78" s="2025"/>
      <c r="AA78" s="2025"/>
      <c r="AB78" s="2025"/>
      <c r="AC78" s="819"/>
      <c r="AE78" s="819"/>
      <c r="AF78" s="819"/>
      <c r="AG78" s="819"/>
      <c r="AH78" s="819"/>
      <c r="AI78" s="819"/>
      <c r="AJ78" s="819"/>
      <c r="AK78" s="819"/>
      <c r="AL78" s="819"/>
      <c r="AM78" s="819"/>
      <c r="AN78" s="819"/>
      <c r="AO78" s="819"/>
      <c r="AP78" s="819"/>
      <c r="AQ78" s="819"/>
      <c r="AR78" s="819"/>
      <c r="AS78" s="819"/>
      <c r="AT78" s="819"/>
      <c r="AU78" s="819"/>
      <c r="AV78" s="819"/>
      <c r="AW78" s="819"/>
      <c r="AX78" s="819"/>
      <c r="AY78" s="819"/>
      <c r="AZ78" s="819"/>
      <c r="BA78" s="819"/>
    </row>
    <row r="79" spans="1:54" ht="14.1" customHeight="1" thickBot="1">
      <c r="A79" s="555"/>
      <c r="B79" s="1323"/>
      <c r="C79" s="1323"/>
      <c r="D79" s="1331"/>
      <c r="E79" s="1331"/>
      <c r="F79" s="1331"/>
      <c r="G79" s="1331"/>
      <c r="H79" s="1331"/>
      <c r="I79" s="1331"/>
      <c r="J79" s="1331"/>
      <c r="K79" s="1331"/>
      <c r="L79" s="1331"/>
      <c r="M79" s="1331"/>
      <c r="N79" s="1331"/>
      <c r="O79" s="1331"/>
      <c r="P79" s="1331"/>
      <c r="Q79" s="1331"/>
      <c r="R79" s="1331"/>
      <c r="S79" s="1331"/>
      <c r="T79" s="1331"/>
      <c r="U79" s="1331"/>
      <c r="V79" s="1331"/>
      <c r="W79" s="1331"/>
      <c r="X79" s="1331"/>
      <c r="Y79" s="1331"/>
      <c r="Z79" s="1331"/>
      <c r="AA79" s="1331"/>
      <c r="AB79" s="1331"/>
      <c r="AC79" s="819"/>
      <c r="AE79" s="819"/>
      <c r="AF79" s="819"/>
      <c r="AG79" s="819"/>
      <c r="AH79" s="819"/>
      <c r="AI79" s="819"/>
      <c r="AJ79" s="819"/>
      <c r="AK79" s="819"/>
      <c r="AL79" s="819"/>
      <c r="AM79" s="819"/>
      <c r="AN79" s="819"/>
      <c r="AO79" s="819"/>
      <c r="AP79" s="819"/>
      <c r="AQ79" s="819"/>
      <c r="AR79" s="819"/>
      <c r="AS79" s="819"/>
      <c r="AT79" s="819"/>
      <c r="AU79" s="819"/>
      <c r="AV79" s="819"/>
      <c r="AW79" s="819"/>
      <c r="AX79" s="819"/>
      <c r="AY79" s="819"/>
      <c r="AZ79" s="819"/>
      <c r="BA79" s="819"/>
    </row>
    <row r="80" spans="1:54" ht="14.1" customHeight="1" thickTop="1">
      <c r="A80" s="556"/>
      <c r="B80" s="1324"/>
      <c r="C80" s="819"/>
      <c r="D80" s="819"/>
      <c r="E80" s="819"/>
      <c r="F80" s="819"/>
      <c r="G80" s="819"/>
      <c r="H80" s="819"/>
      <c r="I80" s="819"/>
      <c r="J80" s="819"/>
      <c r="K80" s="819"/>
      <c r="L80" s="819"/>
      <c r="M80" s="819"/>
      <c r="N80" s="819"/>
      <c r="O80" s="819"/>
      <c r="P80" s="819"/>
      <c r="Q80" s="819"/>
      <c r="R80" s="819"/>
      <c r="S80" s="819"/>
      <c r="T80" s="819"/>
      <c r="U80" s="819"/>
      <c r="V80" s="819"/>
      <c r="W80" s="819"/>
      <c r="X80" s="819"/>
      <c r="Y80" s="819"/>
      <c r="Z80" s="819"/>
      <c r="AA80" s="819"/>
      <c r="AB80" s="819"/>
      <c r="AC80" s="819"/>
      <c r="AE80" s="819"/>
      <c r="AF80" s="819"/>
      <c r="AG80" s="819"/>
      <c r="AH80" s="819"/>
      <c r="AI80" s="819"/>
      <c r="AJ80" s="819"/>
      <c r="AK80" s="819"/>
      <c r="AL80" s="819"/>
      <c r="AM80" s="819"/>
      <c r="AN80" s="819"/>
      <c r="AO80" s="819"/>
      <c r="AP80" s="819"/>
      <c r="AQ80" s="819"/>
      <c r="AR80" s="819"/>
      <c r="AS80" s="819"/>
      <c r="AT80" s="819"/>
      <c r="AU80" s="819"/>
      <c r="AV80" s="819"/>
      <c r="AW80" s="819"/>
      <c r="AX80" s="819"/>
      <c r="AY80" s="819"/>
      <c r="AZ80" s="819"/>
      <c r="BA80" s="819"/>
    </row>
    <row r="81" spans="1:54" ht="14.1" customHeight="1">
      <c r="A81" s="2021" t="s">
        <v>1487</v>
      </c>
      <c r="B81" s="2021"/>
      <c r="C81" s="2021"/>
      <c r="D81" s="2021"/>
      <c r="E81" s="2021"/>
      <c r="F81" s="2021"/>
      <c r="G81" s="2021"/>
      <c r="H81" s="2021"/>
      <c r="I81" s="2021"/>
      <c r="J81" s="2021"/>
      <c r="K81" s="2021"/>
      <c r="L81" s="2021"/>
      <c r="M81" s="2021"/>
      <c r="N81" s="2021"/>
      <c r="O81" s="2021"/>
      <c r="P81" s="2021"/>
      <c r="Q81" s="2021"/>
      <c r="R81" s="2021"/>
      <c r="S81" s="2021"/>
      <c r="U81" s="819"/>
      <c r="V81" s="819"/>
      <c r="W81" s="819"/>
      <c r="X81" s="819"/>
      <c r="Y81" s="819"/>
      <c r="Z81" s="819"/>
      <c r="AA81" s="819"/>
      <c r="AB81" s="819"/>
      <c r="AC81" s="819"/>
      <c r="AE81" s="819"/>
      <c r="AF81" s="819"/>
      <c r="AG81" s="819"/>
      <c r="AH81" s="819"/>
      <c r="AI81" s="819"/>
      <c r="AJ81" s="819"/>
      <c r="AK81" s="819"/>
      <c r="AL81" s="819"/>
      <c r="AM81" s="819"/>
      <c r="AN81" s="819"/>
      <c r="AO81" s="819"/>
      <c r="AP81" s="819"/>
      <c r="AQ81" s="819"/>
      <c r="AR81" s="819"/>
      <c r="AS81" s="819"/>
      <c r="AT81" s="819"/>
      <c r="AU81" s="819"/>
      <c r="AV81" s="819"/>
      <c r="AW81" s="819"/>
      <c r="AX81" s="819"/>
      <c r="AY81" s="819"/>
      <c r="AZ81" s="819"/>
      <c r="BA81" s="819"/>
    </row>
    <row r="82" spans="1:54" ht="14.1" customHeight="1">
      <c r="A82" s="1403"/>
      <c r="B82" s="1403"/>
      <c r="C82" s="1403"/>
      <c r="D82" s="1403"/>
      <c r="U82" s="819"/>
      <c r="V82" s="819"/>
      <c r="W82" s="819"/>
      <c r="X82" s="819"/>
      <c r="Y82" s="819"/>
      <c r="Z82" s="819"/>
      <c r="AA82" s="819"/>
      <c r="AB82" s="819"/>
      <c r="AC82" s="819"/>
      <c r="AE82" s="819"/>
      <c r="AF82" s="819"/>
      <c r="AG82" s="819"/>
      <c r="AH82" s="819"/>
      <c r="AI82" s="819"/>
      <c r="AJ82" s="819"/>
      <c r="AK82" s="819"/>
      <c r="AL82" s="819"/>
      <c r="AM82" s="819"/>
      <c r="AN82" s="819"/>
      <c r="AO82" s="819"/>
      <c r="AP82" s="819"/>
      <c r="AQ82" s="819"/>
      <c r="AR82" s="819"/>
      <c r="AS82" s="819"/>
      <c r="AT82" s="819"/>
      <c r="AU82" s="819"/>
      <c r="AV82" s="819"/>
      <c r="AW82" s="819"/>
      <c r="AX82" s="819"/>
      <c r="AY82" s="819"/>
      <c r="AZ82" s="819"/>
      <c r="BB82" s="819"/>
    </row>
    <row r="83" spans="1:54" ht="14.1" customHeight="1">
      <c r="A83" s="1403"/>
      <c r="B83" s="1403"/>
      <c r="C83" s="552"/>
      <c r="D83" s="1403"/>
      <c r="L83" s="567"/>
      <c r="U83" s="819"/>
      <c r="V83" s="819"/>
      <c r="W83" s="819"/>
      <c r="X83" s="819"/>
      <c r="Y83" s="819"/>
      <c r="Z83" s="819"/>
      <c r="AA83" s="819"/>
      <c r="AB83" s="819"/>
      <c r="AC83" s="819"/>
      <c r="AE83" s="819"/>
      <c r="AF83" s="819"/>
      <c r="AG83" s="819"/>
      <c r="AH83" s="819"/>
      <c r="AI83" s="819"/>
      <c r="AJ83" s="819"/>
      <c r="AK83" s="819"/>
      <c r="AL83" s="819"/>
      <c r="AM83" s="819"/>
      <c r="AN83" s="819"/>
      <c r="AO83" s="819"/>
      <c r="AP83" s="819"/>
      <c r="AQ83" s="819"/>
      <c r="AR83" s="819"/>
      <c r="AS83" s="819"/>
      <c r="AT83" s="819"/>
      <c r="AU83" s="819"/>
      <c r="AV83" s="819"/>
      <c r="AW83" s="819"/>
      <c r="AX83" s="819"/>
      <c r="AY83" s="819"/>
      <c r="AZ83" s="819"/>
      <c r="BB83" s="819"/>
    </row>
    <row r="84" spans="1:54" ht="14.1" customHeight="1" thickBot="1">
      <c r="A84" s="1403"/>
      <c r="B84" s="1403"/>
      <c r="C84" s="552"/>
      <c r="D84" s="1403"/>
      <c r="L84" s="567"/>
      <c r="U84" s="819"/>
      <c r="V84" s="819"/>
      <c r="W84" s="819"/>
      <c r="X84" s="819"/>
      <c r="Y84" s="819"/>
      <c r="Z84" s="819"/>
      <c r="AA84" s="819"/>
      <c r="AB84" s="819"/>
      <c r="AC84" s="819"/>
      <c r="AE84" s="819"/>
      <c r="AF84" s="819"/>
      <c r="AG84" s="819"/>
      <c r="AH84" s="819"/>
      <c r="AI84" s="819"/>
      <c r="AJ84" s="819"/>
      <c r="AK84" s="819"/>
      <c r="AL84" s="819"/>
      <c r="AM84" s="819"/>
      <c r="AN84" s="819"/>
      <c r="AO84" s="819"/>
      <c r="AP84" s="819"/>
      <c r="AQ84" s="819"/>
      <c r="AR84" s="819"/>
      <c r="AS84" s="819"/>
      <c r="AT84" s="819"/>
      <c r="AU84" s="819"/>
      <c r="AV84" s="819"/>
      <c r="AW84" s="819"/>
      <c r="AX84" s="819"/>
      <c r="AY84" s="819"/>
      <c r="AZ84" s="819"/>
      <c r="BB84" s="819"/>
    </row>
    <row r="85" spans="1:54" ht="14.1" customHeight="1" thickTop="1" thickBot="1">
      <c r="A85" s="1403"/>
      <c r="B85" s="1403"/>
      <c r="C85" s="549"/>
      <c r="D85" s="1408"/>
      <c r="E85" s="2009" t="s">
        <v>1479</v>
      </c>
      <c r="F85" s="1332"/>
      <c r="G85" s="1332"/>
      <c r="H85" s="1332"/>
      <c r="I85" s="1332"/>
      <c r="J85" s="2009" t="s">
        <v>1481</v>
      </c>
      <c r="K85" s="1332"/>
      <c r="L85" s="1333"/>
      <c r="U85" s="819"/>
      <c r="V85" s="819"/>
      <c r="W85" s="819"/>
      <c r="X85" s="819"/>
      <c r="Y85" s="819"/>
      <c r="Z85" s="819"/>
      <c r="AA85" s="819"/>
      <c r="AB85" s="819"/>
      <c r="AC85" s="819"/>
      <c r="AE85" s="819"/>
      <c r="AF85" s="819"/>
      <c r="AG85" s="819"/>
      <c r="AH85" s="819"/>
      <c r="AI85" s="819"/>
      <c r="AJ85" s="819"/>
      <c r="AK85" s="819"/>
      <c r="AL85" s="819"/>
      <c r="AM85" s="819"/>
      <c r="AN85" s="819"/>
      <c r="AO85" s="819"/>
      <c r="AP85" s="819"/>
      <c r="AQ85" s="819"/>
      <c r="AR85" s="819"/>
      <c r="AS85" s="819"/>
      <c r="AT85" s="819"/>
      <c r="AU85" s="819"/>
      <c r="AV85" s="819"/>
      <c r="AW85" s="819"/>
      <c r="AX85" s="819"/>
      <c r="AY85" s="819"/>
      <c r="AZ85" s="819"/>
      <c r="BB85" s="819"/>
    </row>
    <row r="86" spans="1:54" ht="14.1" customHeight="1" thickTop="1" thickBot="1">
      <c r="A86" s="1403"/>
      <c r="B86" s="1403"/>
      <c r="C86" s="548"/>
      <c r="D86" s="1403"/>
      <c r="E86" s="2010"/>
      <c r="G86" s="554"/>
      <c r="J86" s="2010"/>
      <c r="L86" s="567"/>
      <c r="U86" s="819"/>
      <c r="V86" s="819"/>
      <c r="W86" s="819"/>
      <c r="X86" s="819"/>
      <c r="Y86" s="819"/>
      <c r="Z86" s="819"/>
      <c r="AA86" s="819"/>
      <c r="AB86" s="819"/>
      <c r="AC86" s="819"/>
      <c r="AE86" s="819"/>
      <c r="AF86" s="819"/>
      <c r="AG86" s="819"/>
      <c r="AH86" s="819"/>
      <c r="AI86" s="819"/>
      <c r="AJ86" s="819"/>
      <c r="AK86" s="819"/>
      <c r="AL86" s="819"/>
      <c r="AM86" s="819"/>
      <c r="AN86" s="819"/>
      <c r="AO86" s="819"/>
      <c r="AP86" s="819"/>
      <c r="AQ86" s="819"/>
      <c r="AR86" s="819"/>
      <c r="AS86" s="819"/>
      <c r="AT86" s="819"/>
      <c r="AU86" s="819"/>
      <c r="AV86" s="819"/>
      <c r="AW86" s="819"/>
      <c r="AX86" s="819"/>
      <c r="AY86" s="819"/>
      <c r="AZ86" s="819"/>
      <c r="BB86" s="819"/>
    </row>
    <row r="87" spans="1:54" ht="14.1" customHeight="1" thickTop="1">
      <c r="A87" s="1403"/>
      <c r="B87" s="1403"/>
      <c r="C87" s="548"/>
      <c r="D87" s="1403"/>
      <c r="G87" s="554"/>
      <c r="L87" s="567"/>
      <c r="U87" s="819"/>
      <c r="V87" s="819"/>
      <c r="W87" s="819"/>
      <c r="X87" s="819"/>
      <c r="Y87" s="819"/>
      <c r="Z87" s="819"/>
      <c r="AA87" s="819"/>
      <c r="AB87" s="819"/>
      <c r="AC87" s="819"/>
      <c r="AE87" s="819"/>
      <c r="AF87" s="819"/>
      <c r="AG87" s="819"/>
      <c r="AH87" s="819"/>
      <c r="AI87" s="819"/>
      <c r="AJ87" s="819"/>
      <c r="AK87" s="819"/>
      <c r="AL87" s="819"/>
      <c r="AM87" s="819"/>
      <c r="AN87" s="819"/>
      <c r="AO87" s="819"/>
      <c r="AP87" s="819"/>
      <c r="AQ87" s="819"/>
      <c r="AR87" s="819"/>
      <c r="AS87" s="819"/>
      <c r="AT87" s="819"/>
      <c r="AU87" s="819"/>
      <c r="AV87" s="819"/>
      <c r="AW87" s="819"/>
      <c r="AX87" s="819"/>
      <c r="AY87" s="819"/>
      <c r="AZ87" s="819"/>
      <c r="BB87" s="819"/>
    </row>
    <row r="88" spans="1:54" ht="14.1" customHeight="1">
      <c r="A88" s="1403"/>
      <c r="B88" s="1403"/>
      <c r="C88" s="548"/>
      <c r="D88" s="1403"/>
      <c r="G88" s="554"/>
      <c r="L88" s="567"/>
      <c r="U88" s="819"/>
      <c r="V88" s="819"/>
      <c r="W88" s="819"/>
      <c r="X88" s="819"/>
      <c r="Y88" s="819"/>
      <c r="Z88" s="819"/>
      <c r="AA88" s="819"/>
      <c r="AB88" s="819"/>
      <c r="AC88" s="819"/>
      <c r="AE88" s="819"/>
      <c r="AF88" s="819"/>
      <c r="AG88" s="819"/>
      <c r="AH88" s="819"/>
      <c r="AI88" s="819"/>
      <c r="AJ88" s="819"/>
      <c r="AK88" s="819"/>
      <c r="AL88" s="819"/>
      <c r="AM88" s="819"/>
      <c r="AN88" s="819"/>
      <c r="AO88" s="819"/>
      <c r="AP88" s="819"/>
      <c r="AQ88" s="819"/>
      <c r="AR88" s="819"/>
      <c r="AS88" s="819"/>
      <c r="AT88" s="819"/>
      <c r="AU88" s="819"/>
      <c r="AV88" s="819"/>
      <c r="AW88" s="819"/>
      <c r="AX88" s="819"/>
      <c r="AY88" s="819"/>
      <c r="AZ88" s="819"/>
      <c r="BB88" s="819"/>
    </row>
    <row r="89" spans="1:54" ht="14.1" customHeight="1">
      <c r="A89" s="1403"/>
      <c r="B89" s="1403"/>
      <c r="C89" s="548"/>
      <c r="D89" s="1403"/>
      <c r="G89" s="2012" t="s">
        <v>338</v>
      </c>
      <c r="H89" s="2012"/>
      <c r="L89" s="567"/>
      <c r="U89" s="819"/>
      <c r="V89" s="819"/>
      <c r="W89" s="819"/>
      <c r="X89" s="819"/>
      <c r="Y89" s="819"/>
      <c r="Z89" s="819"/>
      <c r="AA89" s="819"/>
      <c r="AB89" s="819"/>
      <c r="AC89" s="819"/>
      <c r="AE89" s="819"/>
      <c r="AF89" s="819"/>
      <c r="AG89" s="819"/>
      <c r="AH89" s="819"/>
      <c r="AI89" s="819"/>
      <c r="AJ89" s="819"/>
      <c r="AK89" s="819"/>
      <c r="AL89" s="819"/>
      <c r="AM89" s="819"/>
      <c r="AN89" s="819"/>
      <c r="AO89" s="819"/>
      <c r="AP89" s="819"/>
      <c r="AQ89" s="819"/>
      <c r="AR89" s="819"/>
      <c r="AS89" s="819"/>
      <c r="AT89" s="819"/>
      <c r="AU89" s="819"/>
      <c r="AV89" s="819"/>
      <c r="AW89" s="819"/>
      <c r="AX89" s="819"/>
      <c r="AY89" s="819"/>
      <c r="AZ89" s="819"/>
      <c r="BB89" s="819"/>
    </row>
    <row r="90" spans="1:54" ht="13.5" customHeight="1" thickBot="1">
      <c r="A90" s="1403"/>
      <c r="B90" s="1403"/>
      <c r="C90" s="548"/>
      <c r="D90" s="1403"/>
      <c r="E90" s="1403"/>
      <c r="M90" s="548"/>
      <c r="O90" s="819"/>
      <c r="P90" s="819"/>
      <c r="Q90" s="819"/>
      <c r="R90" s="819"/>
      <c r="S90" s="819"/>
      <c r="T90" s="819"/>
      <c r="U90" s="819"/>
      <c r="V90" s="819"/>
      <c r="W90" s="819"/>
      <c r="X90" s="819"/>
      <c r="Y90" s="819"/>
      <c r="Z90" s="819"/>
      <c r="AA90" s="819"/>
      <c r="AB90" s="819"/>
      <c r="AC90" s="819"/>
      <c r="AE90" s="819"/>
      <c r="AF90" s="819"/>
      <c r="AG90" s="819"/>
      <c r="AH90" s="819"/>
      <c r="AI90" s="819"/>
      <c r="AJ90" s="819"/>
      <c r="AK90" s="819"/>
      <c r="AL90" s="819"/>
      <c r="AM90" s="819"/>
      <c r="AN90" s="819"/>
      <c r="AO90" s="819"/>
      <c r="AP90" s="819"/>
      <c r="AQ90" s="819"/>
      <c r="AR90" s="819"/>
      <c r="AS90" s="819"/>
      <c r="AT90" s="819"/>
      <c r="AU90" s="819"/>
      <c r="AV90" s="819"/>
      <c r="AW90" s="819"/>
      <c r="AX90" s="819"/>
      <c r="AY90" s="819"/>
      <c r="AZ90" s="819"/>
      <c r="BB90" s="819"/>
    </row>
    <row r="91" spans="1:54" ht="14.1" customHeight="1" thickBot="1">
      <c r="A91" s="1403"/>
      <c r="B91" s="1403"/>
      <c r="C91" s="549"/>
      <c r="D91" s="1408"/>
      <c r="E91" s="2007" t="s">
        <v>1475</v>
      </c>
      <c r="F91" s="557"/>
      <c r="G91" s="1334"/>
      <c r="H91" s="1407"/>
      <c r="I91" s="1335"/>
      <c r="J91" s="2007" t="s">
        <v>1478</v>
      </c>
      <c r="K91" s="1408"/>
      <c r="L91" s="1332"/>
      <c r="M91" s="548"/>
      <c r="O91" s="819"/>
      <c r="P91" s="819"/>
      <c r="Q91" s="819"/>
      <c r="R91" s="819"/>
      <c r="S91" s="819"/>
      <c r="T91" s="819"/>
      <c r="U91" s="819"/>
      <c r="V91" s="819"/>
      <c r="W91" s="819"/>
      <c r="X91" s="819"/>
      <c r="Y91" s="819"/>
      <c r="Z91" s="819"/>
      <c r="AA91" s="819"/>
      <c r="AB91" s="819"/>
      <c r="AC91" s="819"/>
      <c r="AE91" s="819"/>
      <c r="AF91" s="819"/>
      <c r="AG91" s="819"/>
      <c r="AH91" s="819"/>
      <c r="AI91" s="819"/>
      <c r="AJ91" s="819"/>
      <c r="AK91" s="819"/>
      <c r="AL91" s="819"/>
      <c r="AM91" s="819"/>
      <c r="AN91" s="819"/>
      <c r="AO91" s="819"/>
      <c r="AP91" s="819"/>
      <c r="AQ91" s="819"/>
      <c r="AR91" s="819"/>
      <c r="AS91" s="819"/>
      <c r="AT91" s="819"/>
      <c r="AU91" s="819"/>
      <c r="AV91" s="819"/>
      <c r="AW91" s="819"/>
      <c r="AX91" s="819"/>
      <c r="AY91" s="819"/>
      <c r="AZ91" s="819"/>
      <c r="BB91" s="819"/>
    </row>
    <row r="92" spans="1:54" ht="12.75" customHeight="1" thickTop="1" thickBot="1">
      <c r="A92" s="1403"/>
      <c r="B92" s="1403"/>
      <c r="C92" s="558"/>
      <c r="D92" s="559"/>
      <c r="E92" s="2007"/>
      <c r="F92" s="560"/>
      <c r="G92" s="561"/>
      <c r="H92" s="562"/>
      <c r="I92" s="561"/>
      <c r="J92" s="2026"/>
      <c r="L92" s="554"/>
      <c r="M92" s="548"/>
      <c r="O92" s="819"/>
      <c r="P92" s="819"/>
      <c r="Q92" s="819"/>
      <c r="R92" s="819"/>
      <c r="S92" s="819"/>
      <c r="T92" s="819"/>
      <c r="U92" s="819"/>
      <c r="V92" s="819"/>
      <c r="W92" s="819"/>
      <c r="X92" s="819"/>
      <c r="Y92" s="819"/>
      <c r="Z92" s="819"/>
      <c r="AA92" s="819"/>
      <c r="AB92" s="819"/>
      <c r="AC92" s="819"/>
      <c r="AE92" s="819"/>
      <c r="AF92" s="819"/>
      <c r="AG92" s="819"/>
      <c r="AH92" s="819"/>
      <c r="AI92" s="819"/>
      <c r="AJ92" s="819"/>
      <c r="AK92" s="819"/>
      <c r="AL92" s="819"/>
      <c r="AM92" s="819"/>
      <c r="AN92" s="819"/>
      <c r="AO92" s="819"/>
      <c r="AP92" s="819"/>
      <c r="AQ92" s="819"/>
      <c r="AR92" s="819"/>
      <c r="AS92" s="819"/>
      <c r="AT92" s="819"/>
      <c r="AU92" s="819"/>
      <c r="AV92" s="819"/>
      <c r="AW92" s="819"/>
      <c r="AX92" s="819"/>
      <c r="AY92" s="819"/>
      <c r="AZ92" s="819"/>
      <c r="BB92" s="819"/>
    </row>
    <row r="93" spans="1:54" ht="12.75" customHeight="1">
      <c r="A93" s="1403"/>
      <c r="B93" s="1403"/>
      <c r="C93" s="548"/>
      <c r="D93" s="1403"/>
      <c r="G93" s="563"/>
      <c r="H93" s="564"/>
      <c r="I93" s="819"/>
      <c r="L93" s="554"/>
      <c r="M93" s="548"/>
      <c r="O93" s="819"/>
      <c r="P93" s="819"/>
      <c r="Q93" s="819"/>
      <c r="R93" s="819"/>
      <c r="S93" s="819"/>
      <c r="T93" s="819"/>
      <c r="U93" s="819"/>
      <c r="V93" s="819"/>
      <c r="W93" s="819"/>
      <c r="X93" s="819"/>
      <c r="Y93" s="819"/>
      <c r="Z93" s="819"/>
      <c r="AA93" s="819"/>
      <c r="AB93" s="819"/>
      <c r="AC93" s="819"/>
      <c r="AE93" s="819"/>
      <c r="AF93" s="819"/>
      <c r="AG93" s="819"/>
      <c r="AH93" s="819"/>
      <c r="AI93" s="819"/>
      <c r="AJ93" s="819"/>
      <c r="AK93" s="819"/>
      <c r="AL93" s="819"/>
      <c r="AM93" s="819"/>
      <c r="AN93" s="819"/>
      <c r="AO93" s="819"/>
      <c r="AP93" s="819"/>
      <c r="AQ93" s="819"/>
      <c r="AR93" s="819"/>
      <c r="AS93" s="819"/>
      <c r="AT93" s="819"/>
      <c r="AU93" s="819"/>
      <c r="AV93" s="819"/>
      <c r="AW93" s="819"/>
      <c r="AX93" s="819"/>
      <c r="AY93" s="819"/>
      <c r="AZ93" s="819"/>
      <c r="BB93" s="819"/>
    </row>
    <row r="94" spans="1:54" ht="14.1" customHeight="1">
      <c r="A94" s="1403"/>
      <c r="C94" s="552"/>
      <c r="G94" s="565"/>
      <c r="H94" s="566"/>
      <c r="I94" s="819"/>
      <c r="L94" s="567"/>
      <c r="M94" s="552"/>
      <c r="O94" s="819"/>
      <c r="P94" s="819"/>
      <c r="Q94" s="819"/>
      <c r="R94" s="819"/>
      <c r="S94" s="819"/>
      <c r="T94" s="819"/>
      <c r="U94" s="819"/>
      <c r="V94" s="819"/>
      <c r="W94" s="819"/>
      <c r="X94" s="819"/>
      <c r="Y94" s="819"/>
      <c r="Z94" s="819"/>
      <c r="AA94" s="819"/>
      <c r="AB94" s="819"/>
      <c r="AC94" s="819"/>
      <c r="AE94" s="819"/>
      <c r="AF94" s="819"/>
      <c r="AG94" s="819"/>
      <c r="AH94" s="819"/>
      <c r="AI94" s="819"/>
      <c r="AJ94" s="819"/>
      <c r="AK94" s="819"/>
      <c r="AL94" s="819"/>
      <c r="AM94" s="819"/>
      <c r="AN94" s="819"/>
      <c r="AO94" s="819"/>
      <c r="AP94" s="819"/>
      <c r="AQ94" s="819"/>
      <c r="AR94" s="819"/>
      <c r="AS94" s="819"/>
      <c r="AT94" s="819"/>
      <c r="AU94" s="819"/>
      <c r="AV94" s="819"/>
      <c r="AW94" s="819"/>
      <c r="AX94" s="819"/>
      <c r="AY94" s="819"/>
      <c r="AZ94" s="819"/>
      <c r="BB94" s="819"/>
    </row>
    <row r="95" spans="1:54" ht="14.1" customHeight="1">
      <c r="A95" s="1403"/>
      <c r="B95" s="554"/>
      <c r="C95" s="552"/>
      <c r="G95" s="533" t="s">
        <v>1474</v>
      </c>
      <c r="H95" s="533"/>
      <c r="I95" s="819"/>
      <c r="K95" s="819"/>
      <c r="L95" s="1336"/>
      <c r="M95" s="1337"/>
      <c r="O95" s="819"/>
      <c r="P95" s="819"/>
      <c r="Q95" s="819"/>
      <c r="R95" s="819"/>
      <c r="S95" s="819"/>
      <c r="T95" s="819"/>
      <c r="U95" s="819"/>
      <c r="V95" s="819"/>
      <c r="W95" s="819"/>
      <c r="X95" s="819"/>
      <c r="Y95" s="819"/>
      <c r="Z95" s="819"/>
      <c r="AA95" s="819"/>
      <c r="AB95" s="819"/>
      <c r="AC95" s="819"/>
      <c r="AE95" s="819"/>
      <c r="AF95" s="819"/>
      <c r="AG95" s="819"/>
      <c r="AH95" s="819"/>
      <c r="AI95" s="819"/>
      <c r="AJ95" s="819"/>
      <c r="AK95" s="819"/>
      <c r="AL95" s="819"/>
      <c r="AM95" s="819"/>
      <c r="AN95" s="819"/>
      <c r="AO95" s="819"/>
      <c r="AP95" s="819"/>
      <c r="AQ95" s="819"/>
      <c r="AR95" s="819"/>
      <c r="AS95" s="819"/>
      <c r="AT95" s="819"/>
      <c r="AU95" s="819"/>
      <c r="AV95" s="819"/>
      <c r="AW95" s="819"/>
      <c r="AX95" s="819"/>
      <c r="AY95" s="819"/>
      <c r="AZ95" s="819"/>
      <c r="BB95" s="819"/>
    </row>
    <row r="96" spans="1:54" ht="12.75" customHeight="1" thickBot="1">
      <c r="A96" s="1403"/>
      <c r="B96" s="1403"/>
      <c r="C96" s="548"/>
      <c r="D96" s="1403"/>
      <c r="E96" s="1403"/>
      <c r="L96" s="554"/>
      <c r="M96" s="1337"/>
      <c r="O96" s="819"/>
      <c r="P96" s="819"/>
      <c r="Q96" s="819"/>
      <c r="R96" s="819"/>
      <c r="S96" s="819"/>
      <c r="T96" s="819"/>
      <c r="U96" s="819"/>
      <c r="V96" s="819"/>
      <c r="W96" s="819"/>
      <c r="X96" s="819"/>
      <c r="Y96" s="819"/>
      <c r="Z96" s="819"/>
      <c r="AA96" s="819"/>
      <c r="AB96" s="819"/>
      <c r="AC96" s="819"/>
      <c r="AE96" s="819"/>
      <c r="AF96" s="819"/>
      <c r="AG96" s="819"/>
      <c r="AH96" s="819"/>
      <c r="AI96" s="819"/>
      <c r="AJ96" s="819"/>
      <c r="AK96" s="819"/>
      <c r="AL96" s="819"/>
      <c r="AM96" s="819"/>
      <c r="AN96" s="819"/>
      <c r="AO96" s="819"/>
      <c r="AP96" s="819"/>
      <c r="AQ96" s="819"/>
      <c r="AR96" s="819"/>
      <c r="AS96" s="819"/>
      <c r="AT96" s="819"/>
      <c r="AU96" s="819"/>
      <c r="AV96" s="819"/>
      <c r="AW96" s="819"/>
      <c r="AX96" s="819"/>
      <c r="AY96" s="819"/>
      <c r="AZ96" s="819"/>
      <c r="BB96" s="819"/>
    </row>
    <row r="97" spans="1:54" ht="12.75" customHeight="1" thickTop="1" thickBot="1">
      <c r="A97" s="1403"/>
      <c r="B97" s="1403"/>
      <c r="C97" s="549"/>
      <c r="D97" s="568"/>
      <c r="E97" s="2015" t="s">
        <v>69</v>
      </c>
      <c r="F97" s="549"/>
      <c r="G97" s="1332"/>
      <c r="H97" s="1332"/>
      <c r="I97" s="1408"/>
      <c r="J97" s="2009" t="s">
        <v>1473</v>
      </c>
      <c r="K97" s="1408"/>
      <c r="L97" s="1333"/>
      <c r="M97" s="1337"/>
      <c r="O97" s="819"/>
      <c r="P97" s="819"/>
      <c r="Q97" s="819"/>
      <c r="R97" s="819"/>
      <c r="S97" s="819"/>
      <c r="T97" s="819"/>
      <c r="U97" s="819"/>
      <c r="V97" s="819"/>
      <c r="W97" s="819"/>
      <c r="X97" s="819"/>
      <c r="Y97" s="819"/>
      <c r="Z97" s="819"/>
      <c r="AA97" s="819"/>
      <c r="AB97" s="819"/>
      <c r="AC97" s="819"/>
      <c r="AE97" s="819"/>
      <c r="AF97" s="819"/>
      <c r="AG97" s="819"/>
      <c r="AH97" s="819"/>
      <c r="AI97" s="819"/>
      <c r="AJ97" s="819"/>
      <c r="AK97" s="819"/>
      <c r="AL97" s="819"/>
      <c r="AM97" s="819"/>
      <c r="AN97" s="819"/>
      <c r="AO97" s="819"/>
      <c r="AP97" s="819"/>
      <c r="AQ97" s="819"/>
      <c r="AR97" s="819"/>
      <c r="AS97" s="819"/>
      <c r="AT97" s="819"/>
      <c r="AU97" s="819"/>
      <c r="AV97" s="819"/>
      <c r="AW97" s="819"/>
      <c r="AX97" s="819"/>
      <c r="AY97" s="819"/>
      <c r="AZ97" s="819"/>
      <c r="BB97" s="819"/>
    </row>
    <row r="98" spans="1:54" ht="14.1" customHeight="1" thickTop="1" thickBot="1">
      <c r="A98" s="1403"/>
      <c r="B98" s="1403"/>
      <c r="C98" s="558"/>
      <c r="D98" s="569"/>
      <c r="E98" s="2016"/>
      <c r="G98" s="554"/>
      <c r="J98" s="2010"/>
      <c r="L98" s="554"/>
      <c r="M98" s="1337"/>
      <c r="O98" s="819"/>
      <c r="P98" s="819"/>
      <c r="Q98" s="819"/>
      <c r="R98" s="819"/>
      <c r="S98" s="819"/>
      <c r="T98" s="819"/>
      <c r="U98" s="819"/>
      <c r="V98" s="819"/>
      <c r="W98" s="819"/>
      <c r="X98" s="819"/>
      <c r="Y98" s="819"/>
      <c r="Z98" s="819"/>
      <c r="AA98" s="819"/>
      <c r="AB98" s="819"/>
      <c r="AC98" s="819"/>
      <c r="AE98" s="819"/>
      <c r="AF98" s="819"/>
      <c r="AG98" s="819"/>
      <c r="AH98" s="819"/>
      <c r="AI98" s="819"/>
      <c r="AJ98" s="819"/>
      <c r="AK98" s="819"/>
      <c r="AL98" s="819"/>
      <c r="AM98" s="819"/>
      <c r="AN98" s="819"/>
      <c r="AO98" s="819"/>
      <c r="AP98" s="819"/>
      <c r="AQ98" s="819"/>
      <c r="AR98" s="819"/>
      <c r="AS98" s="819"/>
      <c r="AT98" s="819"/>
      <c r="AU98" s="819"/>
      <c r="AV98" s="819"/>
      <c r="AW98" s="819"/>
      <c r="AX98" s="819"/>
      <c r="AY98" s="819"/>
      <c r="AZ98" s="819"/>
      <c r="BB98" s="819"/>
    </row>
    <row r="99" spans="1:54" ht="14.1" customHeight="1" thickTop="1">
      <c r="A99" s="1403"/>
      <c r="B99" s="1403"/>
      <c r="C99" s="548"/>
      <c r="D99" s="1403"/>
      <c r="E99" s="1403"/>
      <c r="G99" s="554"/>
      <c r="L99" s="554"/>
      <c r="M99" s="819"/>
      <c r="O99" s="819"/>
      <c r="P99" s="819"/>
      <c r="Q99" s="819"/>
      <c r="R99" s="819"/>
      <c r="S99" s="819"/>
      <c r="T99" s="819"/>
      <c r="U99" s="819"/>
      <c r="V99" s="819"/>
      <c r="W99" s="819"/>
      <c r="X99" s="819"/>
      <c r="Y99" s="819"/>
      <c r="Z99" s="819"/>
      <c r="AA99" s="819"/>
      <c r="AB99" s="819"/>
      <c r="AC99" s="819"/>
      <c r="AE99" s="819"/>
      <c r="AF99" s="819"/>
      <c r="AG99" s="819"/>
      <c r="AH99" s="819"/>
      <c r="AI99" s="819"/>
      <c r="AJ99" s="819"/>
      <c r="AK99" s="819"/>
      <c r="AL99" s="819"/>
      <c r="AM99" s="819"/>
      <c r="AN99" s="819"/>
      <c r="AO99" s="819"/>
      <c r="AP99" s="819"/>
      <c r="AQ99" s="819"/>
      <c r="AR99" s="819"/>
      <c r="AS99" s="819"/>
      <c r="AT99" s="819"/>
      <c r="AU99" s="819"/>
      <c r="AV99" s="819"/>
      <c r="AW99" s="819"/>
      <c r="AX99" s="819"/>
      <c r="AY99" s="819"/>
      <c r="AZ99" s="819"/>
      <c r="BB99" s="819"/>
    </row>
    <row r="100" spans="1:54" ht="12.75" customHeight="1">
      <c r="A100" s="1403"/>
      <c r="C100" s="552"/>
      <c r="G100" s="567"/>
      <c r="H100" s="533"/>
      <c r="L100" s="567"/>
      <c r="M100" s="819"/>
      <c r="O100" s="819"/>
      <c r="P100" s="819"/>
      <c r="Q100" s="819"/>
      <c r="R100" s="819"/>
      <c r="S100" s="819"/>
      <c r="T100" s="819"/>
      <c r="U100" s="819"/>
      <c r="V100" s="819"/>
      <c r="W100" s="819"/>
      <c r="X100" s="819"/>
      <c r="Y100" s="819"/>
      <c r="Z100" s="819"/>
      <c r="AA100" s="819"/>
      <c r="AB100" s="819"/>
      <c r="AC100" s="819"/>
      <c r="AE100" s="819"/>
      <c r="AF100" s="819"/>
      <c r="AG100" s="819"/>
      <c r="AH100" s="819"/>
      <c r="AI100" s="819"/>
      <c r="AJ100" s="819"/>
      <c r="AK100" s="819"/>
      <c r="AL100" s="819"/>
      <c r="AM100" s="819"/>
      <c r="AN100" s="819"/>
      <c r="AO100" s="819"/>
      <c r="AP100" s="819"/>
      <c r="AQ100" s="819"/>
      <c r="AR100" s="819"/>
      <c r="AS100" s="819"/>
      <c r="AT100" s="819"/>
      <c r="AU100" s="819"/>
      <c r="AV100" s="819"/>
      <c r="AW100" s="819"/>
      <c r="AX100" s="819"/>
      <c r="AY100" s="819"/>
      <c r="AZ100" s="819"/>
      <c r="BB100" s="819"/>
    </row>
    <row r="101" spans="1:54" ht="12.75" customHeight="1">
      <c r="A101" s="1403"/>
      <c r="G101" s="2011" t="s">
        <v>349</v>
      </c>
      <c r="H101" s="2011"/>
      <c r="I101" s="819"/>
      <c r="J101" s="819"/>
      <c r="K101" s="819"/>
      <c r="L101" s="819"/>
      <c r="M101" s="819"/>
      <c r="O101" s="819"/>
      <c r="P101" s="819"/>
      <c r="Q101" s="819"/>
      <c r="R101" s="819"/>
      <c r="S101" s="819"/>
      <c r="T101" s="819"/>
      <c r="U101" s="819"/>
      <c r="V101" s="819"/>
      <c r="W101" s="819"/>
      <c r="X101" s="819"/>
      <c r="Y101" s="819"/>
      <c r="Z101" s="819"/>
      <c r="AA101" s="819"/>
      <c r="AB101" s="819"/>
      <c r="AC101" s="819"/>
      <c r="AE101" s="819"/>
      <c r="AF101" s="819"/>
      <c r="AG101" s="819"/>
      <c r="AH101" s="819"/>
      <c r="AI101" s="819"/>
      <c r="AJ101" s="819"/>
      <c r="AK101" s="819"/>
      <c r="AL101" s="819"/>
      <c r="AM101" s="819"/>
      <c r="AN101" s="819"/>
      <c r="AO101" s="819"/>
      <c r="AP101" s="819"/>
      <c r="AQ101" s="819"/>
      <c r="AR101" s="819"/>
      <c r="AS101" s="819"/>
      <c r="AT101" s="819"/>
      <c r="AU101" s="819"/>
      <c r="AV101" s="819"/>
      <c r="AW101" s="819"/>
      <c r="AX101" s="819"/>
      <c r="AY101" s="819"/>
      <c r="AZ101" s="819"/>
      <c r="BB101" s="819"/>
    </row>
    <row r="102" spans="1:54" ht="14.1" customHeight="1">
      <c r="A102" s="1403"/>
      <c r="G102" s="2011"/>
      <c r="H102" s="2011"/>
      <c r="I102" s="819"/>
      <c r="J102" s="819"/>
      <c r="K102" s="819"/>
      <c r="L102" s="819"/>
      <c r="M102" s="819"/>
      <c r="O102" s="819"/>
      <c r="P102" s="819"/>
      <c r="Q102" s="819"/>
      <c r="R102" s="819"/>
      <c r="S102" s="819"/>
      <c r="T102" s="819"/>
      <c r="U102" s="819"/>
      <c r="V102" s="819"/>
      <c r="W102" s="819"/>
      <c r="X102" s="819"/>
      <c r="Y102" s="819"/>
      <c r="Z102" s="819"/>
      <c r="AA102" s="819"/>
      <c r="AB102" s="819"/>
      <c r="AC102" s="819"/>
      <c r="AE102" s="819"/>
      <c r="AF102" s="819"/>
      <c r="AG102" s="819"/>
      <c r="AH102" s="819"/>
      <c r="AI102" s="819"/>
      <c r="AJ102" s="819"/>
      <c r="AK102" s="819"/>
      <c r="AL102" s="819"/>
      <c r="AM102" s="819"/>
      <c r="AN102" s="819"/>
      <c r="AO102" s="819"/>
      <c r="AP102" s="819"/>
      <c r="AQ102" s="819"/>
      <c r="AR102" s="819"/>
      <c r="AS102" s="819"/>
      <c r="AT102" s="819"/>
      <c r="AU102" s="819"/>
      <c r="AV102" s="819"/>
      <c r="AW102" s="819"/>
      <c r="AX102" s="819"/>
      <c r="AY102" s="819"/>
      <c r="AZ102" s="819"/>
      <c r="BB102" s="819"/>
    </row>
    <row r="103" spans="1:54" ht="14.1" customHeight="1">
      <c r="A103" s="1403"/>
      <c r="C103" s="819"/>
      <c r="D103" s="819"/>
      <c r="G103" s="2012" t="s">
        <v>334</v>
      </c>
      <c r="H103" s="2012"/>
      <c r="I103" s="819"/>
      <c r="J103" s="819"/>
      <c r="K103" s="819"/>
      <c r="L103" s="819"/>
      <c r="M103" s="819"/>
      <c r="O103" s="819"/>
      <c r="P103" s="819"/>
      <c r="Q103" s="819"/>
      <c r="R103" s="819"/>
      <c r="S103" s="819"/>
      <c r="T103" s="819"/>
      <c r="U103" s="819"/>
      <c r="V103" s="819"/>
      <c r="W103" s="819"/>
      <c r="X103" s="819"/>
      <c r="Y103" s="819"/>
      <c r="Z103" s="819"/>
      <c r="AA103" s="819"/>
      <c r="AB103" s="819"/>
      <c r="AC103" s="819"/>
      <c r="AE103" s="819"/>
      <c r="AF103" s="819"/>
      <c r="AG103" s="819"/>
      <c r="AH103" s="819"/>
      <c r="AI103" s="819"/>
      <c r="AJ103" s="819"/>
      <c r="AK103" s="819"/>
      <c r="AL103" s="819"/>
      <c r="AM103" s="819"/>
      <c r="AN103" s="819"/>
      <c r="AO103" s="819"/>
      <c r="AP103" s="819"/>
      <c r="AQ103" s="819"/>
      <c r="AR103" s="819"/>
      <c r="AS103" s="819"/>
      <c r="AT103" s="819"/>
      <c r="AU103" s="819"/>
      <c r="AV103" s="819"/>
      <c r="AW103" s="819"/>
      <c r="AX103" s="819"/>
      <c r="AY103" s="819"/>
      <c r="AZ103" s="819"/>
      <c r="BB103" s="819"/>
    </row>
    <row r="104" spans="1:54" ht="14.1" customHeight="1">
      <c r="A104" s="1403"/>
      <c r="C104" s="2008" t="s">
        <v>1476</v>
      </c>
      <c r="D104" s="2008"/>
      <c r="G104" s="590"/>
      <c r="H104" s="590"/>
      <c r="I104" s="819"/>
      <c r="J104" s="819"/>
      <c r="K104" s="819"/>
      <c r="L104" s="819"/>
      <c r="M104" s="819"/>
      <c r="O104" s="819"/>
      <c r="P104" s="819"/>
      <c r="Q104" s="819"/>
      <c r="R104" s="819"/>
      <c r="S104" s="819"/>
      <c r="T104" s="819"/>
      <c r="U104" s="819"/>
      <c r="V104" s="819"/>
      <c r="W104" s="819"/>
      <c r="X104" s="819"/>
      <c r="Y104" s="819"/>
      <c r="Z104" s="819"/>
      <c r="AA104" s="819"/>
      <c r="AB104" s="819"/>
      <c r="AC104" s="819"/>
      <c r="AE104" s="819"/>
      <c r="AF104" s="819"/>
      <c r="AG104" s="819"/>
      <c r="AH104" s="819"/>
      <c r="AI104" s="819"/>
      <c r="AJ104" s="819"/>
      <c r="AK104" s="819"/>
      <c r="AL104" s="819"/>
      <c r="AM104" s="819"/>
      <c r="AN104" s="819"/>
      <c r="AO104" s="819"/>
      <c r="AP104" s="819"/>
      <c r="AQ104" s="819"/>
      <c r="AR104" s="819"/>
      <c r="AS104" s="819"/>
      <c r="AT104" s="819"/>
      <c r="AU104" s="819"/>
      <c r="AV104" s="819"/>
      <c r="AW104" s="819"/>
      <c r="AX104" s="819"/>
      <c r="AY104" s="819"/>
      <c r="AZ104" s="819"/>
      <c r="BB104" s="819"/>
    </row>
    <row r="105" spans="1:54" ht="14.1" customHeight="1">
      <c r="A105" s="819"/>
      <c r="B105" s="819"/>
      <c r="C105" s="819"/>
      <c r="D105" s="2028" t="s">
        <v>1477</v>
      </c>
      <c r="E105" s="2028"/>
      <c r="F105" s="2028"/>
      <c r="G105" s="2028"/>
      <c r="H105" s="2028"/>
      <c r="I105" s="2028"/>
      <c r="J105" s="2028"/>
      <c r="K105" s="2028"/>
      <c r="L105" s="2028"/>
      <c r="M105" s="2028"/>
      <c r="N105" s="2028"/>
      <c r="O105" s="2028"/>
      <c r="P105" s="2028"/>
      <c r="Q105" s="2028"/>
      <c r="R105" s="2028"/>
      <c r="S105" s="2028"/>
      <c r="T105" s="2028"/>
      <c r="U105" s="2028"/>
      <c r="V105" s="2028"/>
      <c r="W105" s="2028"/>
      <c r="X105" s="2028"/>
      <c r="Y105" s="2028"/>
      <c r="Z105" s="2028"/>
      <c r="AA105" s="2028"/>
      <c r="AB105" s="2028"/>
      <c r="AC105" s="819"/>
      <c r="AE105" s="819"/>
      <c r="AF105" s="819"/>
      <c r="AG105" s="819"/>
      <c r="AH105" s="819"/>
      <c r="AI105" s="819"/>
      <c r="AJ105" s="819"/>
      <c r="AK105" s="819"/>
      <c r="AL105" s="819"/>
      <c r="AM105" s="819"/>
      <c r="AN105" s="819"/>
      <c r="AO105" s="819"/>
      <c r="AP105" s="819"/>
      <c r="AQ105" s="819"/>
      <c r="AR105" s="819"/>
      <c r="AS105" s="819"/>
      <c r="AT105" s="819"/>
      <c r="AU105" s="819"/>
      <c r="AV105" s="819"/>
      <c r="AW105" s="819"/>
      <c r="AX105" s="819"/>
      <c r="AY105" s="819"/>
      <c r="AZ105" s="819"/>
      <c r="BB105" s="819"/>
    </row>
    <row r="106" spans="1:54" ht="14.1" customHeight="1" thickBot="1">
      <c r="B106" s="1323"/>
      <c r="C106" s="1323"/>
      <c r="D106" s="1331"/>
      <c r="E106" s="1331"/>
      <c r="F106" s="1331"/>
      <c r="G106" s="1331"/>
      <c r="H106" s="1331"/>
      <c r="I106" s="1331"/>
      <c r="J106" s="1331"/>
      <c r="K106" s="1331"/>
      <c r="L106" s="1331"/>
      <c r="M106" s="1331"/>
      <c r="N106" s="1331"/>
      <c r="O106" s="1331"/>
      <c r="P106" s="1331"/>
      <c r="Q106" s="1331"/>
      <c r="R106" s="1331"/>
      <c r="S106" s="1331"/>
      <c r="T106" s="1331"/>
      <c r="U106" s="1331"/>
      <c r="V106" s="1331"/>
      <c r="W106" s="1331"/>
      <c r="X106" s="1331"/>
      <c r="Y106" s="1331"/>
      <c r="Z106" s="1331"/>
      <c r="AA106" s="1331"/>
      <c r="AB106" s="1331"/>
      <c r="AC106" s="819"/>
      <c r="AE106" s="819"/>
      <c r="AF106" s="819"/>
      <c r="AG106" s="819"/>
      <c r="AH106" s="819"/>
      <c r="AI106" s="819"/>
      <c r="AJ106" s="819"/>
      <c r="AK106" s="819"/>
      <c r="AL106" s="819"/>
      <c r="AM106" s="819"/>
      <c r="AN106" s="819"/>
      <c r="AO106" s="819"/>
      <c r="AP106" s="819"/>
      <c r="AQ106" s="819"/>
      <c r="AR106" s="819"/>
      <c r="AS106" s="819"/>
      <c r="AT106" s="819"/>
      <c r="AU106" s="819"/>
      <c r="AV106" s="819"/>
      <c r="AW106" s="819"/>
      <c r="AX106" s="819"/>
      <c r="AY106" s="819"/>
      <c r="AZ106" s="819"/>
      <c r="BA106" s="819"/>
    </row>
    <row r="107" spans="1:54" ht="14.1" customHeight="1" thickTop="1">
      <c r="B107" s="819"/>
      <c r="C107" s="819"/>
      <c r="D107" s="819"/>
      <c r="E107" s="819"/>
      <c r="F107" s="819"/>
      <c r="G107" s="819"/>
      <c r="H107" s="819"/>
      <c r="I107" s="819"/>
      <c r="J107" s="819"/>
      <c r="K107" s="819"/>
      <c r="L107" s="819"/>
      <c r="M107" s="819"/>
      <c r="N107" s="819"/>
      <c r="O107" s="819"/>
      <c r="P107" s="819"/>
      <c r="Q107" s="819"/>
      <c r="R107" s="819"/>
      <c r="S107" s="819"/>
      <c r="T107" s="819"/>
      <c r="U107" s="819"/>
      <c r="V107" s="819"/>
      <c r="W107" s="819"/>
      <c r="X107" s="819"/>
      <c r="Y107" s="819"/>
      <c r="Z107" s="819"/>
      <c r="AA107" s="819"/>
      <c r="AB107" s="819"/>
      <c r="AC107" s="819"/>
      <c r="AE107" s="819"/>
      <c r="AF107" s="819"/>
      <c r="AG107" s="819"/>
      <c r="AH107" s="819"/>
      <c r="AI107" s="819"/>
      <c r="AJ107" s="819"/>
      <c r="AK107" s="819"/>
      <c r="AL107" s="819"/>
      <c r="AM107" s="819"/>
      <c r="AN107" s="819"/>
      <c r="AO107" s="819"/>
      <c r="AP107" s="819"/>
      <c r="AQ107" s="819"/>
      <c r="AR107" s="819"/>
      <c r="AS107" s="819"/>
      <c r="AT107" s="819"/>
      <c r="AU107" s="819"/>
      <c r="AV107" s="819"/>
      <c r="AW107" s="819"/>
      <c r="AX107" s="819"/>
      <c r="AY107" s="819"/>
      <c r="AZ107" s="819"/>
      <c r="BA107" s="819"/>
    </row>
    <row r="108" spans="1:54" ht="14.1" customHeight="1" thickBot="1">
      <c r="B108" s="819"/>
      <c r="C108" s="548"/>
      <c r="D108" s="819"/>
      <c r="E108" s="819"/>
      <c r="F108" s="819"/>
      <c r="G108" s="819"/>
      <c r="H108" s="819"/>
      <c r="I108" s="819"/>
      <c r="J108" s="819"/>
      <c r="K108" s="819"/>
      <c r="L108" s="1336"/>
      <c r="M108" s="819"/>
      <c r="N108" s="819"/>
      <c r="O108" s="819"/>
      <c r="P108" s="819"/>
      <c r="Q108" s="819"/>
      <c r="R108" s="819"/>
      <c r="S108" s="819"/>
      <c r="T108" s="819"/>
      <c r="U108" s="819"/>
      <c r="V108" s="819"/>
      <c r="W108" s="819"/>
      <c r="X108" s="819"/>
      <c r="Y108" s="819"/>
      <c r="Z108" s="819"/>
      <c r="AA108" s="819"/>
      <c r="AB108" s="819"/>
      <c r="AC108" s="819"/>
      <c r="AE108" s="819"/>
      <c r="AF108" s="819"/>
      <c r="AG108" s="819"/>
      <c r="AH108" s="819"/>
      <c r="AI108" s="819"/>
      <c r="AJ108" s="819"/>
      <c r="AK108" s="819"/>
      <c r="AL108" s="819"/>
      <c r="AM108" s="819"/>
      <c r="AN108" s="819"/>
      <c r="AO108" s="819"/>
      <c r="AP108" s="819"/>
      <c r="AQ108" s="819"/>
      <c r="AR108" s="819"/>
      <c r="AS108" s="819"/>
      <c r="AT108" s="819"/>
      <c r="AU108" s="819"/>
      <c r="AV108" s="819"/>
      <c r="AW108" s="819"/>
      <c r="AX108" s="819"/>
      <c r="AY108" s="819"/>
      <c r="AZ108" s="819"/>
      <c r="BA108" s="819"/>
    </row>
    <row r="109" spans="1:54" ht="14.1" customHeight="1" thickTop="1" thickBot="1">
      <c r="B109" s="819"/>
      <c r="C109" s="549"/>
      <c r="D109" s="1408"/>
      <c r="E109" s="2007" t="s">
        <v>1479</v>
      </c>
      <c r="F109" s="1408"/>
      <c r="G109" s="1332"/>
      <c r="H109" s="1332"/>
      <c r="I109" s="1332"/>
      <c r="J109" s="2009" t="s">
        <v>1481</v>
      </c>
      <c r="K109" s="1408"/>
      <c r="L109" s="1333"/>
      <c r="M109" s="819"/>
      <c r="N109" s="819"/>
      <c r="O109" s="819"/>
      <c r="P109" s="819"/>
      <c r="Q109" s="819"/>
      <c r="R109" s="819"/>
      <c r="S109" s="819"/>
      <c r="T109" s="819"/>
      <c r="U109" s="819"/>
      <c r="V109" s="819"/>
      <c r="W109" s="819"/>
      <c r="X109" s="819"/>
      <c r="Y109" s="819"/>
      <c r="Z109" s="819"/>
      <c r="AA109" s="819"/>
      <c r="AB109" s="819"/>
      <c r="AC109" s="819"/>
      <c r="AE109" s="819"/>
      <c r="AF109" s="819"/>
      <c r="AG109" s="819"/>
      <c r="AH109" s="819"/>
      <c r="AI109" s="819"/>
      <c r="AJ109" s="819"/>
      <c r="AK109" s="819"/>
      <c r="AL109" s="819"/>
      <c r="AM109" s="819"/>
      <c r="AN109" s="819"/>
      <c r="AO109" s="819"/>
      <c r="AP109" s="819"/>
      <c r="AQ109" s="819"/>
      <c r="AR109" s="819"/>
      <c r="AS109" s="819"/>
      <c r="AT109" s="819"/>
      <c r="AU109" s="819"/>
      <c r="AV109" s="819"/>
      <c r="AW109" s="819"/>
      <c r="AX109" s="819"/>
      <c r="AY109" s="819"/>
      <c r="AZ109" s="819"/>
      <c r="BA109" s="819"/>
    </row>
    <row r="110" spans="1:54" ht="14.1" customHeight="1" thickTop="1" thickBot="1">
      <c r="B110" s="819"/>
      <c r="C110" s="548"/>
      <c r="D110" s="819"/>
      <c r="E110" s="2007"/>
      <c r="F110" s="819"/>
      <c r="G110" s="554"/>
      <c r="H110" s="819"/>
      <c r="I110" s="819"/>
      <c r="J110" s="2010"/>
      <c r="K110" s="819"/>
      <c r="L110" s="554"/>
      <c r="M110" s="819"/>
      <c r="N110" s="819"/>
      <c r="O110" s="819"/>
      <c r="P110" s="819"/>
      <c r="Q110" s="819"/>
      <c r="R110" s="819"/>
      <c r="S110" s="819"/>
      <c r="T110" s="819"/>
      <c r="U110" s="819"/>
      <c r="V110" s="819"/>
      <c r="W110" s="819"/>
      <c r="X110" s="819"/>
      <c r="Y110" s="819"/>
      <c r="Z110" s="819"/>
      <c r="AA110" s="819"/>
      <c r="AB110" s="819"/>
      <c r="AC110" s="819"/>
      <c r="AE110" s="819"/>
      <c r="AF110" s="819"/>
      <c r="AG110" s="819"/>
      <c r="AH110" s="819"/>
      <c r="AI110" s="819"/>
      <c r="AJ110" s="819"/>
      <c r="AK110" s="819"/>
      <c r="AL110" s="819"/>
      <c r="AM110" s="819"/>
      <c r="AN110" s="819"/>
      <c r="AO110" s="819"/>
      <c r="AP110" s="819"/>
      <c r="AQ110" s="819"/>
      <c r="AR110" s="819"/>
      <c r="AS110" s="819"/>
      <c r="AT110" s="819"/>
      <c r="AU110" s="819"/>
      <c r="AV110" s="819"/>
      <c r="AW110" s="819"/>
      <c r="AX110" s="819"/>
      <c r="AY110" s="819"/>
      <c r="AZ110" s="819"/>
      <c r="BA110" s="819"/>
    </row>
    <row r="111" spans="1:54" ht="14.1" customHeight="1">
      <c r="B111" s="819"/>
      <c r="C111" s="548"/>
      <c r="D111" s="819"/>
      <c r="E111" s="819"/>
      <c r="F111" s="819"/>
      <c r="G111" s="554"/>
      <c r="H111" s="819"/>
      <c r="I111" s="819"/>
      <c r="J111" s="819"/>
      <c r="K111" s="819"/>
      <c r="L111" s="1336"/>
      <c r="M111" s="819"/>
      <c r="N111" s="819"/>
      <c r="O111" s="819"/>
      <c r="P111" s="819"/>
      <c r="Q111" s="819"/>
      <c r="R111" s="819"/>
      <c r="S111" s="819"/>
      <c r="T111" s="819"/>
      <c r="U111" s="819"/>
      <c r="V111" s="819"/>
      <c r="W111" s="819"/>
      <c r="X111" s="819"/>
      <c r="Y111" s="819"/>
      <c r="Z111" s="819"/>
      <c r="AA111" s="819"/>
      <c r="AB111" s="819"/>
      <c r="AC111" s="819"/>
      <c r="AE111" s="819"/>
      <c r="AF111" s="819"/>
      <c r="AG111" s="819"/>
      <c r="AH111" s="819"/>
      <c r="AI111" s="819"/>
      <c r="AJ111" s="819"/>
      <c r="AK111" s="819"/>
      <c r="AL111" s="819"/>
      <c r="AM111" s="819"/>
      <c r="AN111" s="819"/>
      <c r="AO111" s="819"/>
      <c r="AP111" s="819"/>
      <c r="AQ111" s="819"/>
      <c r="AR111" s="819"/>
      <c r="AS111" s="819"/>
      <c r="AT111" s="819"/>
      <c r="AU111" s="819"/>
      <c r="AV111" s="819"/>
      <c r="AW111" s="819"/>
      <c r="AX111" s="819"/>
      <c r="AY111" s="819"/>
      <c r="AZ111" s="819"/>
      <c r="BA111" s="819"/>
    </row>
    <row r="112" spans="1:54" ht="14.1" customHeight="1">
      <c r="B112" s="819"/>
      <c r="C112" s="548"/>
      <c r="D112" s="819"/>
      <c r="E112" s="819"/>
      <c r="F112" s="819"/>
      <c r="G112" s="554"/>
      <c r="H112" s="819"/>
      <c r="I112" s="819"/>
      <c r="J112" s="819"/>
      <c r="K112" s="819"/>
      <c r="L112" s="1336"/>
      <c r="M112" s="819"/>
      <c r="N112" s="819"/>
      <c r="O112" s="819"/>
      <c r="P112" s="819"/>
      <c r="Q112" s="819"/>
      <c r="R112" s="819"/>
      <c r="S112" s="819"/>
      <c r="T112" s="819"/>
      <c r="U112" s="819"/>
      <c r="V112" s="819"/>
      <c r="W112" s="819"/>
      <c r="X112" s="819"/>
      <c r="Y112" s="819"/>
      <c r="Z112" s="819"/>
      <c r="AA112" s="819"/>
      <c r="AB112" s="819"/>
      <c r="AC112" s="819"/>
      <c r="AE112" s="819"/>
      <c r="AF112" s="819"/>
      <c r="AG112" s="819"/>
      <c r="AH112" s="819"/>
      <c r="AI112" s="819"/>
      <c r="AJ112" s="819"/>
      <c r="AK112" s="819"/>
      <c r="AL112" s="819"/>
      <c r="AM112" s="819"/>
      <c r="AN112" s="819"/>
      <c r="AO112" s="819"/>
      <c r="AP112" s="819"/>
      <c r="AQ112" s="819"/>
      <c r="AR112" s="819"/>
      <c r="AS112" s="819"/>
      <c r="AT112" s="819"/>
      <c r="AU112" s="819"/>
      <c r="AV112" s="819"/>
      <c r="AW112" s="819"/>
      <c r="AX112" s="819"/>
      <c r="AY112" s="819"/>
      <c r="AZ112" s="819"/>
      <c r="BA112" s="819"/>
    </row>
    <row r="113" spans="1:54" ht="14.1" customHeight="1">
      <c r="B113" s="819"/>
      <c r="C113" s="548"/>
      <c r="D113" s="819"/>
      <c r="E113" s="819"/>
      <c r="F113" s="819"/>
      <c r="G113" s="2012" t="s">
        <v>338</v>
      </c>
      <c r="H113" s="2012"/>
      <c r="I113" s="819"/>
      <c r="J113" s="819"/>
      <c r="K113" s="819"/>
      <c r="L113" s="1336"/>
      <c r="M113" s="819"/>
      <c r="N113" s="819"/>
      <c r="O113" s="819"/>
      <c r="P113" s="819"/>
      <c r="Q113" s="819"/>
      <c r="R113" s="819"/>
      <c r="S113" s="819"/>
      <c r="T113" s="819"/>
      <c r="U113" s="819"/>
      <c r="V113" s="819"/>
      <c r="W113" s="819"/>
      <c r="X113" s="819"/>
      <c r="Y113" s="819"/>
      <c r="Z113" s="819"/>
      <c r="AA113" s="819"/>
      <c r="AB113" s="819"/>
      <c r="AC113" s="819"/>
      <c r="AE113" s="819"/>
      <c r="AF113" s="819"/>
      <c r="AG113" s="819"/>
      <c r="AH113" s="819"/>
      <c r="AI113" s="819"/>
      <c r="AJ113" s="819"/>
      <c r="AK113" s="819"/>
      <c r="AL113" s="819"/>
      <c r="AM113" s="819"/>
      <c r="AN113" s="819"/>
      <c r="AO113" s="819"/>
      <c r="AP113" s="819"/>
      <c r="AQ113" s="819"/>
      <c r="AR113" s="819"/>
      <c r="AS113" s="819"/>
      <c r="AT113" s="819"/>
      <c r="AU113" s="819"/>
      <c r="AV113" s="819"/>
      <c r="AW113" s="819"/>
      <c r="AX113" s="819"/>
      <c r="AY113" s="819"/>
      <c r="AZ113" s="819"/>
      <c r="BA113" s="819"/>
    </row>
    <row r="114" spans="1:54" ht="14.1" customHeight="1" thickBot="1">
      <c r="A114" s="1403"/>
      <c r="B114" s="1403"/>
      <c r="C114" s="548"/>
      <c r="D114" s="1403"/>
      <c r="E114" s="1403"/>
      <c r="M114" s="548"/>
      <c r="O114" s="819"/>
      <c r="P114" s="819"/>
      <c r="Q114" s="819"/>
      <c r="R114" s="819"/>
      <c r="S114" s="819"/>
      <c r="T114" s="819"/>
      <c r="U114" s="819"/>
      <c r="V114" s="819"/>
      <c r="W114" s="819"/>
      <c r="X114" s="819"/>
      <c r="Y114" s="819"/>
      <c r="Z114" s="819"/>
      <c r="AA114" s="819"/>
      <c r="AB114" s="819"/>
      <c r="AC114" s="819"/>
      <c r="AE114" s="819"/>
      <c r="AF114" s="819"/>
      <c r="AG114" s="819"/>
      <c r="AH114" s="819"/>
      <c r="AI114" s="819"/>
      <c r="AJ114" s="819"/>
      <c r="AK114" s="819"/>
      <c r="AL114" s="819"/>
      <c r="AM114" s="819"/>
      <c r="AN114" s="819"/>
      <c r="AO114" s="819"/>
      <c r="AP114" s="819"/>
      <c r="AQ114" s="819"/>
      <c r="AR114" s="819"/>
      <c r="AS114" s="819"/>
      <c r="AT114" s="819"/>
      <c r="AU114" s="819"/>
      <c r="AV114" s="819"/>
      <c r="AW114" s="819"/>
      <c r="AX114" s="819"/>
      <c r="AY114" s="819"/>
      <c r="AZ114" s="819"/>
      <c r="BA114" s="819"/>
    </row>
    <row r="115" spans="1:54" ht="14.1" customHeight="1" thickTop="1" thickBot="1">
      <c r="A115" s="1403"/>
      <c r="B115" s="1403"/>
      <c r="C115" s="549"/>
      <c r="D115" s="1408"/>
      <c r="E115" s="2007" t="s">
        <v>1475</v>
      </c>
      <c r="F115" s="1408"/>
      <c r="G115" s="1332"/>
      <c r="H115" s="1408"/>
      <c r="I115" s="1332"/>
      <c r="J115" s="2009" t="s">
        <v>1478</v>
      </c>
      <c r="K115" s="1408"/>
      <c r="L115" s="1332"/>
      <c r="M115" s="548"/>
      <c r="O115" s="819"/>
      <c r="P115" s="819"/>
      <c r="Q115" s="819"/>
      <c r="R115" s="819"/>
      <c r="S115" s="819"/>
      <c r="T115" s="819"/>
      <c r="U115" s="819"/>
      <c r="V115" s="819"/>
      <c r="W115" s="819"/>
      <c r="X115" s="819"/>
      <c r="Y115" s="819"/>
      <c r="Z115" s="819"/>
      <c r="AA115" s="819"/>
      <c r="AB115" s="819"/>
      <c r="AC115" s="819"/>
      <c r="AE115" s="819"/>
      <c r="AF115" s="819"/>
      <c r="AG115" s="819"/>
      <c r="AH115" s="819"/>
      <c r="AI115" s="819"/>
      <c r="AJ115" s="819"/>
      <c r="AK115" s="819"/>
      <c r="AL115" s="819"/>
      <c r="AM115" s="819"/>
      <c r="AN115" s="819"/>
      <c r="AO115" s="819"/>
      <c r="AP115" s="819"/>
      <c r="AQ115" s="819"/>
      <c r="AR115" s="819"/>
      <c r="AS115" s="819"/>
      <c r="AT115" s="819"/>
      <c r="AU115" s="819"/>
      <c r="AV115" s="819"/>
      <c r="AW115" s="819"/>
      <c r="AX115" s="819"/>
      <c r="AY115" s="819"/>
      <c r="AZ115" s="819"/>
      <c r="BB115" s="819"/>
    </row>
    <row r="116" spans="1:54" ht="12.75" customHeight="1" thickTop="1" thickBot="1">
      <c r="A116" s="1403"/>
      <c r="B116" s="1403"/>
      <c r="C116" s="558"/>
      <c r="D116" s="559"/>
      <c r="E116" s="2007"/>
      <c r="G116" s="553"/>
      <c r="H116" s="558"/>
      <c r="J116" s="2010"/>
      <c r="L116" s="554"/>
      <c r="M116" s="548"/>
      <c r="O116" s="819"/>
      <c r="P116" s="819"/>
      <c r="Q116" s="819"/>
      <c r="R116" s="819"/>
      <c r="S116" s="819"/>
      <c r="T116" s="819"/>
      <c r="U116" s="819"/>
      <c r="V116" s="819"/>
      <c r="W116" s="819"/>
      <c r="X116" s="819"/>
      <c r="Y116" s="819"/>
      <c r="Z116" s="819"/>
      <c r="AA116" s="819"/>
      <c r="AB116" s="819"/>
      <c r="AC116" s="819"/>
      <c r="AE116" s="819"/>
      <c r="AF116" s="819"/>
      <c r="AG116" s="819"/>
      <c r="AH116" s="819"/>
      <c r="AI116" s="819"/>
      <c r="AJ116" s="819"/>
      <c r="AK116" s="819"/>
      <c r="AL116" s="819"/>
      <c r="AM116" s="819"/>
      <c r="AN116" s="819"/>
      <c r="AO116" s="819"/>
      <c r="AP116" s="819"/>
      <c r="AQ116" s="819"/>
      <c r="AR116" s="819"/>
      <c r="AS116" s="819"/>
      <c r="AT116" s="819"/>
      <c r="AU116" s="819"/>
      <c r="AV116" s="819"/>
      <c r="AW116" s="819"/>
      <c r="AX116" s="819"/>
      <c r="AY116" s="819"/>
      <c r="AZ116" s="819"/>
      <c r="BB116" s="819"/>
    </row>
    <row r="117" spans="1:54" ht="12.75" customHeight="1">
      <c r="A117" s="1403"/>
      <c r="B117" s="1403"/>
      <c r="C117" s="548"/>
      <c r="D117" s="1403"/>
      <c r="G117" s="554"/>
      <c r="H117" s="552"/>
      <c r="I117" s="819"/>
      <c r="L117" s="554"/>
      <c r="M117" s="548"/>
      <c r="O117" s="819"/>
      <c r="P117" s="819"/>
      <c r="Q117" s="819"/>
      <c r="R117" s="819"/>
      <c r="S117" s="819"/>
      <c r="T117" s="819"/>
      <c r="U117" s="819"/>
      <c r="V117" s="819"/>
      <c r="W117" s="819"/>
      <c r="X117" s="819"/>
      <c r="Y117" s="819"/>
      <c r="Z117" s="819"/>
      <c r="AA117" s="819"/>
      <c r="AB117" s="819"/>
      <c r="AC117" s="819"/>
      <c r="AE117" s="819"/>
      <c r="AF117" s="819"/>
      <c r="AG117" s="819"/>
      <c r="AH117" s="819"/>
      <c r="AI117" s="819"/>
      <c r="AJ117" s="819"/>
      <c r="AK117" s="819"/>
      <c r="AL117" s="819"/>
      <c r="AM117" s="819"/>
      <c r="AN117" s="819"/>
      <c r="AO117" s="819"/>
      <c r="AP117" s="819"/>
      <c r="AQ117" s="819"/>
      <c r="AR117" s="819"/>
      <c r="AS117" s="819"/>
      <c r="AT117" s="819"/>
      <c r="AU117" s="819"/>
      <c r="AV117" s="819"/>
      <c r="AW117" s="819"/>
      <c r="AX117" s="819"/>
      <c r="AY117" s="819"/>
      <c r="AZ117" s="819"/>
      <c r="BB117" s="819"/>
    </row>
    <row r="118" spans="1:54" ht="14.1" customHeight="1">
      <c r="A118" s="1403"/>
      <c r="C118" s="552"/>
      <c r="G118" s="567"/>
      <c r="H118" s="570"/>
      <c r="I118" s="819"/>
      <c r="L118" s="567"/>
      <c r="M118" s="552"/>
      <c r="O118" s="819"/>
      <c r="P118" s="819"/>
      <c r="Q118" s="819"/>
      <c r="R118" s="819"/>
      <c r="S118" s="819"/>
      <c r="T118" s="819"/>
      <c r="U118" s="819"/>
      <c r="V118" s="819"/>
      <c r="W118" s="819"/>
      <c r="X118" s="819"/>
      <c r="Y118" s="819"/>
      <c r="Z118" s="819"/>
      <c r="AA118" s="819"/>
      <c r="AB118" s="819"/>
      <c r="AC118" s="819"/>
      <c r="AE118" s="819"/>
      <c r="AF118" s="819"/>
      <c r="AG118" s="819"/>
      <c r="AH118" s="819"/>
      <c r="AI118" s="819"/>
      <c r="AJ118" s="819"/>
      <c r="AK118" s="819"/>
      <c r="AL118" s="819"/>
      <c r="AM118" s="819"/>
      <c r="AN118" s="819"/>
      <c r="AO118" s="819"/>
      <c r="AP118" s="819"/>
      <c r="AQ118" s="819"/>
      <c r="AR118" s="819"/>
      <c r="AS118" s="819"/>
      <c r="AT118" s="819"/>
      <c r="AU118" s="819"/>
      <c r="AV118" s="819"/>
      <c r="AW118" s="819"/>
      <c r="AX118" s="819"/>
      <c r="AY118" s="819"/>
      <c r="AZ118" s="819"/>
      <c r="BB118" s="819"/>
    </row>
    <row r="119" spans="1:54" ht="14.1" customHeight="1">
      <c r="A119" s="1403"/>
      <c r="B119" s="554"/>
      <c r="C119" s="552"/>
      <c r="G119" s="2012" t="s">
        <v>341</v>
      </c>
      <c r="H119" s="2012"/>
      <c r="I119" s="819"/>
      <c r="K119" s="819"/>
      <c r="L119" s="1336"/>
      <c r="M119" s="1337"/>
      <c r="O119" s="819"/>
      <c r="P119" s="819"/>
      <c r="Q119" s="819"/>
      <c r="R119" s="819"/>
      <c r="S119" s="819"/>
      <c r="T119" s="819"/>
      <c r="U119" s="819"/>
      <c r="V119" s="819"/>
      <c r="W119" s="819"/>
      <c r="X119" s="819"/>
      <c r="Y119" s="819"/>
      <c r="Z119" s="819"/>
      <c r="AA119" s="819"/>
      <c r="AB119" s="819"/>
      <c r="AC119" s="819"/>
      <c r="AE119" s="819"/>
      <c r="AF119" s="819"/>
      <c r="AG119" s="819"/>
      <c r="AH119" s="819"/>
      <c r="AI119" s="819"/>
      <c r="AJ119" s="819"/>
      <c r="AK119" s="819"/>
      <c r="AL119" s="819"/>
      <c r="AM119" s="819"/>
      <c r="AN119" s="819"/>
      <c r="AO119" s="819"/>
      <c r="AP119" s="819"/>
      <c r="AQ119" s="819"/>
      <c r="AR119" s="819"/>
      <c r="AS119" s="819"/>
      <c r="AT119" s="819"/>
      <c r="AU119" s="819"/>
      <c r="AV119" s="819"/>
      <c r="AW119" s="819"/>
      <c r="AX119" s="819"/>
      <c r="AY119" s="819"/>
      <c r="AZ119" s="819"/>
      <c r="BB119" s="819"/>
    </row>
    <row r="120" spans="1:54" ht="12.75" customHeight="1" thickBot="1">
      <c r="A120" s="1403"/>
      <c r="B120" s="1403"/>
      <c r="C120" s="548"/>
      <c r="D120" s="1403"/>
      <c r="E120" s="1403"/>
      <c r="L120" s="554"/>
      <c r="M120" s="1337"/>
      <c r="O120" s="819"/>
      <c r="P120" s="819"/>
      <c r="Q120" s="819"/>
      <c r="R120" s="819"/>
      <c r="S120" s="819"/>
      <c r="T120" s="819"/>
      <c r="U120" s="819"/>
      <c r="V120" s="819"/>
      <c r="W120" s="819"/>
      <c r="X120" s="819"/>
      <c r="Y120" s="819"/>
      <c r="Z120" s="819"/>
      <c r="AA120" s="819"/>
      <c r="AB120" s="819"/>
      <c r="AC120" s="819"/>
      <c r="AE120" s="819"/>
      <c r="AF120" s="819"/>
      <c r="AG120" s="819"/>
      <c r="AH120" s="819"/>
      <c r="AI120" s="819"/>
      <c r="AJ120" s="819"/>
      <c r="AK120" s="819"/>
      <c r="AL120" s="819"/>
      <c r="AM120" s="819"/>
      <c r="AN120" s="819"/>
      <c r="AO120" s="819"/>
      <c r="AP120" s="819"/>
      <c r="AQ120" s="819"/>
      <c r="AR120" s="819"/>
      <c r="AS120" s="819"/>
      <c r="AT120" s="819"/>
      <c r="AU120" s="819"/>
      <c r="AV120" s="819"/>
      <c r="AW120" s="819"/>
      <c r="AX120" s="819"/>
      <c r="AY120" s="819"/>
      <c r="AZ120" s="819"/>
      <c r="BB120" s="819"/>
    </row>
    <row r="121" spans="1:54" ht="12.75" customHeight="1" thickTop="1" thickBot="1">
      <c r="A121" s="1403"/>
      <c r="B121" s="1403"/>
      <c r="C121" s="549"/>
      <c r="D121" s="568"/>
      <c r="E121" s="2015" t="s">
        <v>69</v>
      </c>
      <c r="F121" s="549"/>
      <c r="G121" s="1332"/>
      <c r="H121" s="1332"/>
      <c r="I121" s="1408"/>
      <c r="J121" s="2007" t="s">
        <v>1473</v>
      </c>
      <c r="K121" s="1408"/>
      <c r="L121" s="1333"/>
      <c r="M121" s="1337"/>
      <c r="O121" s="819"/>
      <c r="P121" s="819"/>
      <c r="Q121" s="819"/>
      <c r="R121" s="819"/>
      <c r="S121" s="819"/>
      <c r="T121" s="819"/>
      <c r="U121" s="819"/>
      <c r="V121" s="819"/>
      <c r="W121" s="819"/>
      <c r="X121" s="819"/>
      <c r="Y121" s="819"/>
      <c r="Z121" s="819"/>
      <c r="AA121" s="819"/>
      <c r="AB121" s="819"/>
      <c r="AC121" s="819"/>
      <c r="AE121" s="819"/>
      <c r="AF121" s="819"/>
      <c r="AG121" s="819"/>
      <c r="AH121" s="819"/>
      <c r="AI121" s="819"/>
      <c r="AJ121" s="819"/>
      <c r="AK121" s="819"/>
      <c r="AL121" s="819"/>
      <c r="AM121" s="819"/>
      <c r="AN121" s="819"/>
      <c r="AO121" s="819"/>
      <c r="AP121" s="819"/>
      <c r="AQ121" s="819"/>
      <c r="AR121" s="819"/>
      <c r="AS121" s="819"/>
      <c r="AT121" s="819"/>
      <c r="AU121" s="819"/>
      <c r="AV121" s="819"/>
      <c r="AW121" s="819"/>
      <c r="AX121" s="819"/>
      <c r="AY121" s="819"/>
      <c r="AZ121" s="819"/>
      <c r="BB121" s="819"/>
    </row>
    <row r="122" spans="1:54" ht="14.1" customHeight="1" thickTop="1" thickBot="1">
      <c r="A122" s="1403"/>
      <c r="B122" s="1403"/>
      <c r="C122" s="558"/>
      <c r="D122" s="569"/>
      <c r="E122" s="2016"/>
      <c r="G122" s="554"/>
      <c r="J122" s="2007"/>
      <c r="L122" s="554"/>
      <c r="M122" s="1337"/>
      <c r="O122" s="819"/>
      <c r="P122" s="819"/>
      <c r="Q122" s="819"/>
      <c r="R122" s="819"/>
      <c r="S122" s="819"/>
      <c r="T122" s="819"/>
      <c r="U122" s="819"/>
      <c r="V122" s="819"/>
      <c r="W122" s="819"/>
      <c r="X122" s="819"/>
      <c r="Y122" s="819"/>
      <c r="Z122" s="819"/>
      <c r="AA122" s="819"/>
      <c r="AB122" s="819"/>
      <c r="AC122" s="819"/>
      <c r="AE122" s="819"/>
      <c r="AF122" s="819"/>
      <c r="AG122" s="819"/>
      <c r="AH122" s="819"/>
      <c r="AI122" s="819"/>
      <c r="AJ122" s="819"/>
      <c r="AK122" s="819"/>
      <c r="AL122" s="819"/>
      <c r="AM122" s="819"/>
      <c r="AN122" s="819"/>
      <c r="AO122" s="819"/>
      <c r="AP122" s="819"/>
      <c r="AQ122" s="819"/>
      <c r="AR122" s="819"/>
      <c r="AS122" s="819"/>
      <c r="AT122" s="819"/>
      <c r="AU122" s="819"/>
      <c r="AV122" s="819"/>
      <c r="AW122" s="819"/>
      <c r="AX122" s="819"/>
      <c r="AY122" s="819"/>
      <c r="AZ122" s="819"/>
      <c r="BB122" s="819"/>
    </row>
    <row r="123" spans="1:54" ht="14.1" customHeight="1" thickTop="1">
      <c r="A123" s="1403"/>
      <c r="B123" s="1403"/>
      <c r="C123" s="548"/>
      <c r="D123" s="1403"/>
      <c r="E123" s="1403"/>
      <c r="G123" s="554"/>
      <c r="L123" s="554"/>
      <c r="M123" s="819"/>
      <c r="O123" s="819"/>
      <c r="P123" s="819"/>
      <c r="Q123" s="819"/>
      <c r="R123" s="819"/>
      <c r="S123" s="819"/>
      <c r="T123" s="819"/>
      <c r="U123" s="819"/>
      <c r="V123" s="819"/>
      <c r="W123" s="819"/>
      <c r="X123" s="819"/>
      <c r="Y123" s="819"/>
      <c r="Z123" s="819"/>
      <c r="AA123" s="819"/>
      <c r="AB123" s="819"/>
      <c r="AC123" s="819"/>
      <c r="AE123" s="819"/>
      <c r="AF123" s="819"/>
      <c r="AG123" s="819"/>
      <c r="AH123" s="819"/>
      <c r="AI123" s="819"/>
      <c r="AJ123" s="819"/>
      <c r="AK123" s="819"/>
      <c r="AL123" s="819"/>
      <c r="AM123" s="819"/>
      <c r="AN123" s="819"/>
      <c r="AO123" s="819"/>
      <c r="AP123" s="819"/>
      <c r="AQ123" s="819"/>
      <c r="AR123" s="819"/>
      <c r="AS123" s="819"/>
      <c r="AT123" s="819"/>
      <c r="AU123" s="819"/>
      <c r="AV123" s="819"/>
      <c r="AW123" s="819"/>
      <c r="AX123" s="819"/>
      <c r="AY123" s="819"/>
      <c r="AZ123" s="819"/>
      <c r="BB123" s="819"/>
    </row>
    <row r="124" spans="1:54" ht="12.75" customHeight="1">
      <c r="A124" s="1403"/>
      <c r="C124" s="552"/>
      <c r="G124" s="567"/>
      <c r="H124" s="533"/>
      <c r="L124" s="567"/>
      <c r="M124" s="819"/>
      <c r="O124" s="819"/>
      <c r="P124" s="819"/>
      <c r="Q124" s="819"/>
      <c r="R124" s="819"/>
      <c r="S124" s="819"/>
      <c r="T124" s="819"/>
      <c r="U124" s="819"/>
      <c r="V124" s="819"/>
      <c r="W124" s="819"/>
      <c r="X124" s="819"/>
      <c r="Y124" s="819"/>
      <c r="Z124" s="819"/>
      <c r="AA124" s="819"/>
      <c r="AB124" s="819"/>
      <c r="AC124" s="819"/>
      <c r="AE124" s="819"/>
      <c r="AF124" s="819"/>
      <c r="AG124" s="819"/>
      <c r="AH124" s="819"/>
      <c r="AI124" s="819"/>
      <c r="AJ124" s="819"/>
      <c r="AK124" s="819"/>
      <c r="AL124" s="819"/>
      <c r="AM124" s="819"/>
      <c r="AN124" s="819"/>
      <c r="AO124" s="819"/>
      <c r="AP124" s="819"/>
      <c r="AQ124" s="819"/>
      <c r="AR124" s="819"/>
      <c r="AS124" s="819"/>
      <c r="AT124" s="819"/>
      <c r="AU124" s="819"/>
      <c r="AV124" s="819"/>
      <c r="AW124" s="819"/>
      <c r="AX124" s="819"/>
      <c r="AY124" s="819"/>
      <c r="AZ124" s="819"/>
      <c r="BB124" s="819"/>
    </row>
    <row r="125" spans="1:54" ht="12.75" customHeight="1">
      <c r="A125" s="1403"/>
      <c r="B125" s="2011" t="s">
        <v>349</v>
      </c>
      <c r="C125" s="2011"/>
      <c r="G125" s="2012" t="s">
        <v>334</v>
      </c>
      <c r="H125" s="2012"/>
      <c r="I125" s="819"/>
      <c r="J125" s="819"/>
      <c r="K125" s="819"/>
      <c r="L125" s="819"/>
      <c r="M125" s="819"/>
      <c r="O125" s="819"/>
      <c r="P125" s="819"/>
      <c r="Q125" s="819"/>
      <c r="R125" s="819"/>
      <c r="S125" s="819"/>
      <c r="T125" s="819"/>
      <c r="U125" s="819"/>
      <c r="V125" s="819"/>
      <c r="W125" s="819"/>
      <c r="X125" s="819"/>
      <c r="Y125" s="819"/>
      <c r="Z125" s="819"/>
      <c r="AA125" s="819"/>
      <c r="AB125" s="819"/>
      <c r="AC125" s="819"/>
      <c r="AE125" s="819"/>
      <c r="AF125" s="819"/>
      <c r="AG125" s="819"/>
      <c r="AH125" s="819"/>
      <c r="AI125" s="819"/>
      <c r="AJ125" s="819"/>
      <c r="AK125" s="819"/>
      <c r="AL125" s="819"/>
      <c r="AM125" s="819"/>
      <c r="AN125" s="819"/>
      <c r="AO125" s="819"/>
      <c r="AP125" s="819"/>
      <c r="AQ125" s="819"/>
      <c r="AR125" s="819"/>
      <c r="AS125" s="819"/>
      <c r="AT125" s="819"/>
      <c r="AU125" s="819"/>
      <c r="AV125" s="819"/>
      <c r="AW125" s="819"/>
      <c r="AX125" s="819"/>
      <c r="AY125" s="819"/>
      <c r="AZ125" s="819"/>
      <c r="BB125" s="819"/>
    </row>
    <row r="126" spans="1:54" ht="14.1" customHeight="1">
      <c r="A126" s="1403"/>
      <c r="B126" s="2011"/>
      <c r="C126" s="2011"/>
      <c r="G126" s="819"/>
      <c r="H126" s="819"/>
      <c r="I126" s="819"/>
      <c r="J126" s="819"/>
      <c r="K126" s="819"/>
      <c r="L126" s="819"/>
      <c r="M126" s="819"/>
      <c r="O126" s="819"/>
      <c r="P126" s="819"/>
      <c r="Q126" s="819"/>
      <c r="R126" s="819"/>
      <c r="S126" s="819"/>
      <c r="T126" s="819"/>
      <c r="U126" s="819"/>
      <c r="V126" s="819"/>
      <c r="W126" s="819"/>
      <c r="X126" s="819"/>
      <c r="Y126" s="819"/>
      <c r="Z126" s="819"/>
      <c r="AA126" s="819"/>
      <c r="AB126" s="819"/>
      <c r="AC126" s="819"/>
      <c r="AE126" s="819"/>
      <c r="AF126" s="819"/>
      <c r="AG126" s="819"/>
      <c r="AH126" s="819"/>
      <c r="AI126" s="819"/>
      <c r="AJ126" s="819"/>
      <c r="AK126" s="819"/>
      <c r="AL126" s="819"/>
      <c r="AM126" s="819"/>
      <c r="AN126" s="819"/>
      <c r="AO126" s="819"/>
      <c r="AP126" s="819"/>
      <c r="AQ126" s="819"/>
      <c r="AR126" s="819"/>
      <c r="AS126" s="819"/>
      <c r="AT126" s="819"/>
      <c r="AU126" s="819"/>
      <c r="AV126" s="819"/>
      <c r="AW126" s="819"/>
      <c r="AX126" s="819"/>
      <c r="AY126" s="819"/>
      <c r="AZ126" s="819"/>
      <c r="BB126" s="819"/>
    </row>
    <row r="127" spans="1:54" ht="14.1" customHeight="1">
      <c r="A127" s="1403"/>
      <c r="C127" s="819"/>
      <c r="D127" s="819"/>
      <c r="G127" s="819"/>
      <c r="H127" s="819"/>
      <c r="I127" s="819"/>
      <c r="J127" s="819"/>
      <c r="K127" s="819"/>
      <c r="L127" s="819"/>
      <c r="M127" s="819"/>
      <c r="O127" s="819"/>
      <c r="P127" s="819"/>
      <c r="Q127" s="819"/>
      <c r="R127" s="819"/>
      <c r="S127" s="819"/>
      <c r="T127" s="819"/>
      <c r="U127" s="819"/>
      <c r="V127" s="819"/>
      <c r="W127" s="819"/>
      <c r="X127" s="819"/>
      <c r="Y127" s="819"/>
      <c r="Z127" s="819"/>
      <c r="AA127" s="819"/>
      <c r="AB127" s="819"/>
      <c r="AC127" s="819"/>
      <c r="AE127" s="819"/>
      <c r="AF127" s="819"/>
      <c r="AG127" s="819"/>
      <c r="AH127" s="819"/>
      <c r="AI127" s="819"/>
      <c r="AJ127" s="819"/>
      <c r="AK127" s="819"/>
      <c r="AL127" s="819"/>
      <c r="AM127" s="819"/>
      <c r="AN127" s="819"/>
      <c r="AO127" s="819"/>
      <c r="AP127" s="819"/>
      <c r="AQ127" s="819"/>
      <c r="AR127" s="819"/>
      <c r="AS127" s="819"/>
      <c r="AT127" s="819"/>
      <c r="AU127" s="819"/>
      <c r="AV127" s="819"/>
      <c r="AW127" s="819"/>
      <c r="AX127" s="819"/>
      <c r="AY127" s="819"/>
      <c r="AZ127" s="819"/>
      <c r="BB127" s="819"/>
    </row>
    <row r="128" spans="1:54" ht="14.1" customHeight="1">
      <c r="A128" s="1403"/>
      <c r="C128" s="2008" t="s">
        <v>1485</v>
      </c>
      <c r="D128" s="2008"/>
      <c r="G128" s="590"/>
      <c r="H128" s="590"/>
      <c r="I128" s="819"/>
      <c r="J128" s="819"/>
      <c r="K128" s="819"/>
      <c r="L128" s="819"/>
      <c r="M128" s="819"/>
      <c r="O128" s="819"/>
      <c r="P128" s="819"/>
      <c r="Q128" s="819"/>
      <c r="R128" s="819"/>
      <c r="S128" s="819"/>
      <c r="T128" s="819"/>
      <c r="U128" s="819"/>
      <c r="V128" s="819"/>
      <c r="W128" s="819"/>
      <c r="X128" s="819"/>
      <c r="Y128" s="819"/>
      <c r="Z128" s="819"/>
      <c r="AA128" s="819"/>
      <c r="AB128" s="819"/>
      <c r="AC128" s="819"/>
      <c r="AE128" s="819"/>
      <c r="AF128" s="819"/>
      <c r="AG128" s="819"/>
      <c r="AH128" s="819"/>
      <c r="AI128" s="819"/>
      <c r="AJ128" s="819"/>
      <c r="AK128" s="819"/>
      <c r="AL128" s="819"/>
      <c r="AM128" s="819"/>
      <c r="AN128" s="819"/>
      <c r="AO128" s="819"/>
      <c r="AP128" s="819"/>
      <c r="AQ128" s="819"/>
      <c r="AR128" s="819"/>
      <c r="AS128" s="819"/>
      <c r="AT128" s="819"/>
      <c r="AU128" s="819"/>
      <c r="AV128" s="819"/>
      <c r="AW128" s="819"/>
      <c r="AX128" s="819"/>
      <c r="AY128" s="819"/>
      <c r="AZ128" s="819"/>
      <c r="BB128" s="819"/>
    </row>
    <row r="129" spans="1:54" ht="14.1" customHeight="1">
      <c r="A129" s="819"/>
      <c r="B129" s="819"/>
      <c r="C129" s="819"/>
      <c r="D129" s="2093" t="s">
        <v>1488</v>
      </c>
      <c r="E129" s="2093"/>
      <c r="F129" s="2093"/>
      <c r="G129" s="2093"/>
      <c r="H129" s="2093"/>
      <c r="I129" s="2093"/>
      <c r="J129" s="2093"/>
      <c r="K129" s="2093"/>
      <c r="L129" s="2093"/>
      <c r="M129" s="2093"/>
      <c r="N129" s="2093"/>
      <c r="O129" s="2093"/>
      <c r="P129" s="2093"/>
      <c r="Q129" s="2093"/>
      <c r="R129" s="2093"/>
      <c r="S129" s="2093"/>
      <c r="T129" s="2093"/>
      <c r="U129" s="2093"/>
      <c r="V129" s="2093"/>
      <c r="W129" s="2093"/>
      <c r="X129" s="2093"/>
      <c r="Y129" s="2093"/>
      <c r="Z129" s="2093"/>
      <c r="AA129" s="2093"/>
      <c r="AB129" s="2093"/>
      <c r="AC129" s="819"/>
      <c r="AE129" s="819"/>
      <c r="AF129" s="819"/>
      <c r="AG129" s="819"/>
      <c r="AH129" s="819"/>
      <c r="AI129" s="819"/>
      <c r="AJ129" s="819"/>
      <c r="AK129" s="819"/>
      <c r="AL129" s="819"/>
      <c r="AM129" s="819"/>
      <c r="AN129" s="819"/>
      <c r="AO129" s="819"/>
      <c r="AP129" s="819"/>
      <c r="AQ129" s="819"/>
      <c r="AR129" s="819"/>
      <c r="AS129" s="819"/>
      <c r="AT129" s="819"/>
      <c r="AU129" s="819"/>
      <c r="AV129" s="819"/>
      <c r="AW129" s="819"/>
      <c r="AX129" s="819"/>
      <c r="AY129" s="819"/>
      <c r="AZ129" s="819"/>
      <c r="BB129" s="819"/>
    </row>
    <row r="130" spans="1:54" ht="14.1" customHeight="1">
      <c r="A130" s="819"/>
      <c r="B130" s="819"/>
      <c r="C130" s="819"/>
      <c r="D130" s="2093"/>
      <c r="E130" s="2093"/>
      <c r="F130" s="2093"/>
      <c r="G130" s="2093"/>
      <c r="H130" s="2093"/>
      <c r="I130" s="2093"/>
      <c r="J130" s="2093"/>
      <c r="K130" s="2093"/>
      <c r="L130" s="2093"/>
      <c r="M130" s="2093"/>
      <c r="N130" s="2093"/>
      <c r="O130" s="2093"/>
      <c r="P130" s="2093"/>
      <c r="Q130" s="2093"/>
      <c r="R130" s="2093"/>
      <c r="S130" s="2093"/>
      <c r="T130" s="2093"/>
      <c r="U130" s="2093"/>
      <c r="V130" s="2093"/>
      <c r="W130" s="2093"/>
      <c r="X130" s="2093"/>
      <c r="Y130" s="2093"/>
      <c r="Z130" s="2093"/>
      <c r="AA130" s="2093"/>
      <c r="AB130" s="2093"/>
      <c r="AC130" s="819"/>
      <c r="AE130" s="819"/>
      <c r="AF130" s="819"/>
      <c r="AG130" s="819"/>
      <c r="AH130" s="819"/>
      <c r="AI130" s="819"/>
      <c r="AJ130" s="819"/>
      <c r="AK130" s="819"/>
      <c r="AL130" s="819"/>
      <c r="AM130" s="819"/>
      <c r="AN130" s="819"/>
      <c r="AO130" s="819"/>
      <c r="AP130" s="819"/>
      <c r="AQ130" s="819"/>
      <c r="AR130" s="819"/>
      <c r="AS130" s="819"/>
      <c r="AT130" s="819"/>
      <c r="AU130" s="819"/>
      <c r="AV130" s="819"/>
      <c r="AW130" s="819"/>
      <c r="AX130" s="819"/>
      <c r="AY130" s="819"/>
      <c r="AZ130" s="819"/>
      <c r="BA130" s="819"/>
    </row>
    <row r="131" spans="1:54">
      <c r="A131" s="819"/>
      <c r="B131" s="819"/>
      <c r="C131" s="819"/>
      <c r="D131" s="2093"/>
      <c r="E131" s="2093"/>
      <c r="F131" s="2093"/>
      <c r="G131" s="2093"/>
      <c r="H131" s="2093"/>
      <c r="I131" s="2093"/>
      <c r="J131" s="2093"/>
      <c r="K131" s="2093"/>
      <c r="L131" s="2093"/>
      <c r="M131" s="2093"/>
      <c r="N131" s="2093"/>
      <c r="O131" s="2093"/>
      <c r="P131" s="2093"/>
      <c r="Q131" s="2093"/>
      <c r="R131" s="2093"/>
      <c r="S131" s="2093"/>
      <c r="T131" s="2093"/>
      <c r="U131" s="2093"/>
      <c r="V131" s="2093"/>
      <c r="W131" s="2093"/>
      <c r="X131" s="2093"/>
      <c r="Y131" s="2093"/>
      <c r="Z131" s="2093"/>
      <c r="AA131" s="2093"/>
      <c r="AB131" s="2093"/>
      <c r="AC131" s="819"/>
      <c r="AE131" s="819"/>
      <c r="AF131" s="819"/>
      <c r="AG131" s="819"/>
      <c r="AH131" s="819"/>
      <c r="AI131" s="819"/>
      <c r="AJ131" s="819"/>
      <c r="AK131" s="819"/>
      <c r="AL131" s="819"/>
      <c r="AM131" s="819"/>
      <c r="AN131" s="819"/>
      <c r="AO131" s="819"/>
      <c r="AP131" s="819"/>
      <c r="AQ131" s="819"/>
      <c r="AR131" s="819"/>
      <c r="AS131" s="819"/>
      <c r="AT131" s="819"/>
      <c r="AU131" s="819"/>
      <c r="AV131" s="819"/>
      <c r="AW131" s="819"/>
      <c r="AX131" s="819"/>
      <c r="AY131" s="819"/>
      <c r="AZ131" s="819"/>
      <c r="BA131" s="819"/>
      <c r="BB131" s="819"/>
    </row>
    <row r="132" spans="1:54">
      <c r="A132" s="819"/>
      <c r="B132" s="819"/>
      <c r="C132" s="819"/>
      <c r="D132" s="2093"/>
      <c r="E132" s="2093"/>
      <c r="F132" s="2093"/>
      <c r="G132" s="2093"/>
      <c r="H132" s="2093"/>
      <c r="I132" s="2093"/>
      <c r="J132" s="2093"/>
      <c r="K132" s="2093"/>
      <c r="L132" s="2093"/>
      <c r="M132" s="2093"/>
      <c r="N132" s="2093"/>
      <c r="O132" s="2093"/>
      <c r="P132" s="2093"/>
      <c r="Q132" s="2093"/>
      <c r="R132" s="2093"/>
      <c r="S132" s="2093"/>
      <c r="T132" s="2093"/>
      <c r="U132" s="2093"/>
      <c r="V132" s="2093"/>
      <c r="W132" s="2093"/>
      <c r="X132" s="2093"/>
      <c r="Y132" s="2093"/>
      <c r="Z132" s="2093"/>
      <c r="AA132" s="2093"/>
      <c r="AB132" s="2093"/>
      <c r="AC132" s="819"/>
      <c r="AE132" s="819"/>
      <c r="AF132" s="819"/>
      <c r="AG132" s="819"/>
      <c r="AH132" s="819"/>
      <c r="AI132" s="819"/>
      <c r="AJ132" s="819"/>
      <c r="AK132" s="819"/>
      <c r="AL132" s="819"/>
      <c r="AM132" s="819"/>
      <c r="AN132" s="819"/>
      <c r="AO132" s="819"/>
      <c r="AP132" s="819"/>
      <c r="AQ132" s="819"/>
      <c r="AR132" s="819"/>
      <c r="AS132" s="819"/>
      <c r="AT132" s="819"/>
      <c r="AU132" s="819"/>
      <c r="AV132" s="819"/>
      <c r="AW132" s="819"/>
      <c r="AX132" s="819"/>
      <c r="AY132" s="819"/>
      <c r="AZ132" s="819"/>
      <c r="BA132" s="819"/>
      <c r="BB132" s="819"/>
    </row>
    <row r="133" spans="1:54">
      <c r="A133" s="819"/>
      <c r="B133" s="819"/>
      <c r="C133" s="819"/>
      <c r="D133" s="2093"/>
      <c r="E133" s="2093"/>
      <c r="F133" s="2093"/>
      <c r="G133" s="2093"/>
      <c r="H133" s="2093"/>
      <c r="I133" s="2093"/>
      <c r="J133" s="2093"/>
      <c r="K133" s="2093"/>
      <c r="L133" s="2093"/>
      <c r="M133" s="2093"/>
      <c r="N133" s="2093"/>
      <c r="O133" s="2093"/>
      <c r="P133" s="2093"/>
      <c r="Q133" s="2093"/>
      <c r="R133" s="2093"/>
      <c r="S133" s="2093"/>
      <c r="T133" s="2093"/>
      <c r="U133" s="2093"/>
      <c r="V133" s="2093"/>
      <c r="W133" s="2093"/>
      <c r="X133" s="2093"/>
      <c r="Y133" s="2093"/>
      <c r="Z133" s="2093"/>
      <c r="AA133" s="2093"/>
      <c r="AB133" s="2093"/>
      <c r="AC133" s="819"/>
      <c r="AE133" s="819"/>
      <c r="AF133" s="819"/>
      <c r="AG133" s="819"/>
      <c r="AH133" s="819"/>
      <c r="AI133" s="819"/>
      <c r="AJ133" s="819"/>
      <c r="AK133" s="819"/>
      <c r="AL133" s="819"/>
      <c r="AM133" s="819"/>
      <c r="AN133" s="819"/>
      <c r="AO133" s="819"/>
      <c r="AP133" s="819"/>
      <c r="AQ133" s="819"/>
      <c r="AR133" s="819"/>
      <c r="AS133" s="819"/>
      <c r="AT133" s="819"/>
      <c r="AU133" s="819"/>
      <c r="AV133" s="819"/>
      <c r="AW133" s="819"/>
      <c r="AX133" s="819"/>
      <c r="AY133" s="819"/>
      <c r="AZ133" s="819"/>
      <c r="BA133" s="819"/>
      <c r="BB133" s="819"/>
    </row>
    <row r="134" spans="1:54" ht="13.8" thickBot="1">
      <c r="A134" s="555"/>
      <c r="B134" s="1323"/>
      <c r="C134" s="1323"/>
      <c r="D134" s="1331"/>
      <c r="E134" s="1331"/>
      <c r="F134" s="1331"/>
      <c r="G134" s="1331"/>
      <c r="H134" s="1331"/>
      <c r="I134" s="1331"/>
      <c r="J134" s="1331"/>
      <c r="K134" s="1331"/>
      <c r="L134" s="1331"/>
      <c r="M134" s="1331"/>
      <c r="N134" s="1331"/>
      <c r="O134" s="1331"/>
      <c r="P134" s="1331"/>
      <c r="Q134" s="1331"/>
      <c r="R134" s="1331"/>
      <c r="S134" s="1331"/>
      <c r="T134" s="1331"/>
      <c r="U134" s="1331"/>
      <c r="V134" s="1331"/>
      <c r="W134" s="1331"/>
      <c r="X134" s="1331"/>
      <c r="Y134" s="1331"/>
      <c r="Z134" s="1331"/>
      <c r="AA134" s="1331"/>
      <c r="AB134" s="1331"/>
      <c r="AC134" s="819"/>
      <c r="AE134" s="819"/>
      <c r="AF134" s="819"/>
      <c r="AG134" s="819"/>
      <c r="AH134" s="819"/>
      <c r="AI134" s="819"/>
      <c r="AJ134" s="819"/>
      <c r="AK134" s="819"/>
      <c r="AL134" s="819"/>
      <c r="AM134" s="819"/>
      <c r="AN134" s="819"/>
      <c r="AO134" s="819"/>
      <c r="AP134" s="819"/>
      <c r="AQ134" s="819"/>
      <c r="AR134" s="819"/>
      <c r="AS134" s="819"/>
      <c r="AT134" s="819"/>
      <c r="AU134" s="819"/>
      <c r="AV134" s="819"/>
      <c r="AW134" s="819"/>
      <c r="AX134" s="819"/>
      <c r="AY134" s="819"/>
      <c r="AZ134" s="819"/>
      <c r="BA134" s="819"/>
      <c r="BB134" s="819"/>
    </row>
    <row r="135" spans="1:54" ht="14.1" customHeight="1" thickTop="1">
      <c r="B135" s="819"/>
      <c r="C135" s="819"/>
      <c r="D135" s="1338"/>
      <c r="E135" s="1338"/>
      <c r="F135" s="1338"/>
      <c r="G135" s="1338"/>
      <c r="H135" s="1338"/>
      <c r="I135" s="1338"/>
      <c r="J135" s="1338"/>
      <c r="K135" s="1338"/>
      <c r="L135" s="1338"/>
      <c r="M135" s="1338"/>
      <c r="N135" s="1338"/>
      <c r="O135" s="1338"/>
      <c r="P135" s="1338"/>
      <c r="Q135" s="1338"/>
      <c r="R135" s="1338"/>
      <c r="S135" s="1338"/>
      <c r="T135" s="1338"/>
      <c r="U135" s="1338"/>
      <c r="V135" s="1338"/>
      <c r="W135" s="1338"/>
      <c r="X135" s="1338"/>
      <c r="Y135" s="1338"/>
      <c r="Z135" s="1338"/>
      <c r="AA135" s="1338"/>
      <c r="AB135" s="1338"/>
      <c r="AC135" s="819"/>
      <c r="AE135" s="819"/>
      <c r="AF135" s="819"/>
      <c r="AG135" s="819"/>
      <c r="AH135" s="819"/>
      <c r="AI135" s="819"/>
      <c r="AJ135" s="819"/>
      <c r="AK135" s="819"/>
      <c r="AL135" s="819"/>
      <c r="AM135" s="819"/>
      <c r="AN135" s="819"/>
      <c r="AO135" s="819"/>
      <c r="AP135" s="819"/>
      <c r="AQ135" s="819"/>
      <c r="AR135" s="819"/>
      <c r="AS135" s="819"/>
      <c r="AT135" s="819"/>
      <c r="AU135" s="819"/>
      <c r="AV135" s="819"/>
      <c r="AW135" s="819"/>
      <c r="AX135" s="819"/>
      <c r="AY135" s="819"/>
      <c r="AZ135" s="819"/>
      <c r="BA135" s="819"/>
    </row>
    <row r="136" spans="1:54" ht="14.1" customHeight="1">
      <c r="A136" s="2094" t="s">
        <v>1489</v>
      </c>
      <c r="B136" s="2094"/>
      <c r="C136" s="2094"/>
      <c r="D136" s="2094"/>
      <c r="E136" s="2094"/>
      <c r="F136" s="2094"/>
      <c r="G136" s="2094"/>
      <c r="H136" s="2094"/>
      <c r="I136" s="2094"/>
      <c r="J136" s="2094"/>
      <c r="K136" s="2094"/>
      <c r="L136" s="2094"/>
      <c r="M136" s="2094"/>
      <c r="N136" s="2094"/>
      <c r="O136" s="2094"/>
      <c r="P136" s="2094"/>
      <c r="Q136" s="2094"/>
      <c r="R136" s="2094"/>
      <c r="S136" s="2094"/>
      <c r="T136" s="2094"/>
      <c r="U136" s="819"/>
      <c r="V136" s="819"/>
      <c r="W136" s="819"/>
      <c r="X136" s="819"/>
      <c r="Y136" s="819"/>
      <c r="Z136" s="819"/>
      <c r="AA136" s="819"/>
      <c r="AB136" s="819"/>
      <c r="AC136" s="819"/>
      <c r="AE136" s="819"/>
      <c r="AF136" s="819"/>
      <c r="AG136" s="819"/>
      <c r="AH136" s="819"/>
      <c r="AI136" s="819"/>
      <c r="AJ136" s="819"/>
      <c r="AK136" s="819"/>
      <c r="AL136" s="819"/>
      <c r="AM136" s="819"/>
      <c r="AN136" s="819"/>
      <c r="AO136" s="819"/>
      <c r="AP136" s="819"/>
      <c r="AQ136" s="819"/>
      <c r="AR136" s="819"/>
      <c r="AS136" s="819"/>
      <c r="AT136" s="819"/>
      <c r="AU136" s="819"/>
      <c r="AV136" s="819"/>
      <c r="AW136" s="819"/>
      <c r="AX136" s="819"/>
      <c r="AY136" s="819"/>
      <c r="AZ136" s="819"/>
      <c r="BA136" s="819"/>
    </row>
    <row r="137" spans="1:54" ht="14.1" customHeight="1">
      <c r="A137" s="1403"/>
      <c r="B137" s="1403"/>
      <c r="C137" s="1403"/>
      <c r="D137" s="1403"/>
      <c r="U137" s="819"/>
      <c r="V137" s="819"/>
      <c r="W137" s="819"/>
      <c r="X137" s="819"/>
      <c r="Y137" s="819"/>
      <c r="Z137" s="819"/>
      <c r="AA137" s="819"/>
      <c r="AB137" s="819"/>
      <c r="AC137" s="819"/>
      <c r="AE137" s="819"/>
      <c r="AF137" s="819"/>
      <c r="AG137" s="819"/>
      <c r="AH137" s="819"/>
      <c r="AI137" s="819"/>
      <c r="AJ137" s="819"/>
      <c r="AK137" s="819"/>
      <c r="AL137" s="819"/>
      <c r="AM137" s="819"/>
      <c r="AN137" s="819"/>
      <c r="AO137" s="819"/>
      <c r="AP137" s="819"/>
      <c r="AQ137" s="819"/>
      <c r="AR137" s="819"/>
      <c r="AS137" s="819"/>
      <c r="AT137" s="819"/>
      <c r="AU137" s="819"/>
      <c r="AV137" s="819"/>
      <c r="AW137" s="819"/>
      <c r="AX137" s="819"/>
      <c r="AY137" s="819"/>
      <c r="AZ137" s="819"/>
      <c r="BB137" s="819"/>
    </row>
    <row r="138" spans="1:54" ht="13.5" customHeight="1">
      <c r="A138" s="1403"/>
      <c r="B138" s="1403"/>
      <c r="C138" s="1403"/>
      <c r="D138" s="1403"/>
      <c r="U138" s="819"/>
      <c r="V138" s="819"/>
      <c r="W138" s="819"/>
      <c r="X138" s="819"/>
      <c r="Y138" s="819"/>
      <c r="Z138" s="819"/>
      <c r="AA138" s="819"/>
      <c r="AB138" s="819"/>
      <c r="AC138" s="819"/>
      <c r="AE138" s="819"/>
      <c r="AF138" s="819"/>
      <c r="AG138" s="819"/>
      <c r="AH138" s="819"/>
      <c r="AI138" s="819"/>
      <c r="AJ138" s="819"/>
      <c r="AK138" s="819"/>
      <c r="AL138" s="819"/>
      <c r="AM138" s="819"/>
      <c r="AN138" s="819"/>
      <c r="AO138" s="819"/>
      <c r="AP138" s="819"/>
      <c r="AQ138" s="819"/>
      <c r="AR138" s="819"/>
      <c r="AS138" s="819"/>
      <c r="AT138" s="819"/>
      <c r="AU138" s="819"/>
      <c r="AV138" s="819"/>
      <c r="AW138" s="819"/>
      <c r="AX138" s="819"/>
      <c r="AY138" s="819"/>
      <c r="AZ138" s="819"/>
      <c r="BB138" s="819"/>
    </row>
    <row r="139" spans="1:54" ht="13.5" customHeight="1">
      <c r="A139" s="1403"/>
      <c r="B139" s="1403"/>
      <c r="C139" s="1403"/>
      <c r="D139" s="1403"/>
      <c r="H139" s="2012" t="s">
        <v>341</v>
      </c>
      <c r="I139" s="2012"/>
      <c r="U139" s="819"/>
      <c r="V139" s="819"/>
      <c r="W139" s="819"/>
      <c r="X139" s="819"/>
      <c r="Y139" s="819"/>
      <c r="Z139" s="819"/>
      <c r="AA139" s="819"/>
      <c r="AB139" s="819"/>
      <c r="AC139" s="819"/>
      <c r="AE139" s="819"/>
      <c r="AF139" s="819"/>
      <c r="AG139" s="819"/>
      <c r="AH139" s="819"/>
      <c r="AI139" s="819"/>
      <c r="AJ139" s="819"/>
      <c r="AK139" s="819"/>
      <c r="AL139" s="819"/>
      <c r="AM139" s="819"/>
      <c r="AN139" s="819"/>
      <c r="AO139" s="819"/>
      <c r="AP139" s="819"/>
      <c r="AQ139" s="819"/>
      <c r="AR139" s="819"/>
      <c r="AS139" s="819"/>
      <c r="AT139" s="819"/>
      <c r="AU139" s="819"/>
      <c r="AV139" s="819"/>
      <c r="AW139" s="819"/>
      <c r="AX139" s="819"/>
      <c r="AY139" s="819"/>
      <c r="AZ139" s="819"/>
      <c r="BB139" s="819"/>
    </row>
    <row r="140" spans="1:54" ht="13.5" customHeight="1">
      <c r="A140" s="1403"/>
      <c r="B140" s="1403"/>
      <c r="C140" s="1403"/>
      <c r="D140" s="1403"/>
      <c r="H140" s="2011" t="s">
        <v>349</v>
      </c>
      <c r="I140" s="2011"/>
      <c r="U140" s="819"/>
      <c r="V140" s="819"/>
      <c r="W140" s="819"/>
      <c r="X140" s="819"/>
      <c r="Y140" s="819"/>
      <c r="Z140" s="819"/>
      <c r="AA140" s="819"/>
      <c r="AB140" s="819"/>
      <c r="AC140" s="819"/>
      <c r="AE140" s="819"/>
      <c r="AF140" s="819"/>
      <c r="AG140" s="819"/>
      <c r="AH140" s="819"/>
      <c r="AI140" s="819"/>
      <c r="AJ140" s="819"/>
      <c r="AK140" s="819"/>
      <c r="AL140" s="819"/>
      <c r="AM140" s="819"/>
      <c r="AN140" s="819"/>
      <c r="AO140" s="819"/>
      <c r="AP140" s="819"/>
      <c r="AQ140" s="819"/>
      <c r="AR140" s="819"/>
      <c r="AS140" s="819"/>
      <c r="AT140" s="819"/>
      <c r="AU140" s="819"/>
      <c r="AV140" s="819"/>
      <c r="AW140" s="819"/>
      <c r="AX140" s="819"/>
      <c r="AY140" s="819"/>
      <c r="AZ140" s="819"/>
      <c r="BB140" s="819"/>
    </row>
    <row r="141" spans="1:54" ht="13.5" customHeight="1">
      <c r="A141" s="1403"/>
      <c r="B141" s="1403"/>
      <c r="C141" s="1403"/>
      <c r="D141" s="1403"/>
      <c r="H141" s="2011"/>
      <c r="I141" s="2011"/>
      <c r="U141" s="819"/>
      <c r="V141" s="819"/>
      <c r="W141" s="819"/>
      <c r="X141" s="819"/>
      <c r="Y141" s="819"/>
      <c r="Z141" s="819"/>
      <c r="AA141" s="819"/>
      <c r="AB141" s="819"/>
      <c r="AC141" s="819"/>
      <c r="AE141" s="819"/>
      <c r="AF141" s="819"/>
      <c r="AG141" s="819"/>
      <c r="AH141" s="819"/>
      <c r="AI141" s="819"/>
      <c r="AJ141" s="819"/>
      <c r="AK141" s="819"/>
      <c r="AL141" s="819"/>
      <c r="AM141" s="819"/>
      <c r="AN141" s="819"/>
      <c r="AO141" s="819"/>
      <c r="AP141" s="819"/>
      <c r="AQ141" s="819"/>
      <c r="AR141" s="819"/>
      <c r="AS141" s="819"/>
      <c r="AT141" s="819"/>
      <c r="AU141" s="819"/>
      <c r="AV141" s="819"/>
      <c r="AW141" s="819"/>
      <c r="AX141" s="819"/>
      <c r="AY141" s="819"/>
      <c r="AZ141" s="819"/>
      <c r="BB141" s="819"/>
    </row>
    <row r="142" spans="1:54" ht="13.5" customHeight="1">
      <c r="A142" s="1403"/>
      <c r="B142" s="1403"/>
      <c r="C142" s="1403"/>
      <c r="D142" s="1403"/>
      <c r="H142" s="554"/>
      <c r="U142" s="819"/>
      <c r="V142" s="819"/>
      <c r="W142" s="819"/>
      <c r="X142" s="819"/>
      <c r="Y142" s="819"/>
      <c r="Z142" s="819"/>
      <c r="AA142" s="819"/>
      <c r="AB142" s="819"/>
      <c r="AC142" s="819"/>
      <c r="AE142" s="819"/>
      <c r="AF142" s="819"/>
      <c r="AG142" s="819"/>
      <c r="AH142" s="819"/>
      <c r="AI142" s="819"/>
      <c r="AJ142" s="819"/>
      <c r="AK142" s="819"/>
      <c r="AL142" s="819"/>
      <c r="AM142" s="819"/>
      <c r="AN142" s="819"/>
      <c r="AO142" s="819"/>
      <c r="AP142" s="819"/>
      <c r="AQ142" s="819"/>
      <c r="AR142" s="819"/>
      <c r="AS142" s="819"/>
      <c r="AT142" s="819"/>
      <c r="AU142" s="819"/>
      <c r="AV142" s="819"/>
      <c r="AW142" s="819"/>
      <c r="AX142" s="819"/>
      <c r="AY142" s="819"/>
      <c r="AZ142" s="819"/>
      <c r="BB142" s="819"/>
    </row>
    <row r="143" spans="1:54" ht="13.5" customHeight="1" thickBot="1">
      <c r="A143" s="1403"/>
      <c r="C143" s="1403"/>
      <c r="D143" s="1403"/>
      <c r="H143" s="554"/>
      <c r="U143" s="819"/>
      <c r="V143" s="819"/>
      <c r="W143" s="819"/>
      <c r="X143" s="819"/>
      <c r="Y143" s="819"/>
      <c r="Z143" s="819"/>
      <c r="AA143" s="819"/>
      <c r="AB143" s="819"/>
      <c r="AC143" s="819"/>
      <c r="AE143" s="819"/>
      <c r="AF143" s="819"/>
      <c r="AG143" s="819"/>
      <c r="AH143" s="819"/>
      <c r="AI143" s="819"/>
      <c r="AJ143" s="819"/>
      <c r="AK143" s="819"/>
      <c r="AL143" s="819"/>
      <c r="AM143" s="819"/>
      <c r="AN143" s="819"/>
      <c r="AO143" s="819"/>
      <c r="AP143" s="819"/>
      <c r="AQ143" s="819"/>
      <c r="AR143" s="819"/>
      <c r="AS143" s="819"/>
      <c r="AT143" s="819"/>
      <c r="AU143" s="819"/>
      <c r="AV143" s="819"/>
      <c r="AW143" s="819"/>
      <c r="AX143" s="819"/>
      <c r="AY143" s="819"/>
      <c r="AZ143" s="819"/>
      <c r="BB143" s="819"/>
    </row>
    <row r="144" spans="1:54" ht="13.5" customHeight="1" thickTop="1" thickBot="1">
      <c r="A144" s="1403"/>
      <c r="C144" s="819"/>
      <c r="D144" s="819"/>
      <c r="E144" s="1408"/>
      <c r="F144" s="2015" t="s">
        <v>69</v>
      </c>
      <c r="G144" s="549"/>
      <c r="H144" s="571"/>
      <c r="I144" s="551"/>
      <c r="J144" s="1408"/>
      <c r="K144" s="2013" t="s">
        <v>1473</v>
      </c>
      <c r="L144" s="1408"/>
      <c r="U144" s="819"/>
      <c r="V144" s="819"/>
      <c r="W144" s="819"/>
      <c r="X144" s="819"/>
      <c r="Y144" s="819"/>
      <c r="Z144" s="819"/>
      <c r="AA144" s="819"/>
      <c r="AB144" s="819"/>
      <c r="AC144" s="819"/>
      <c r="AE144" s="819"/>
      <c r="AF144" s="819"/>
      <c r="AG144" s="819"/>
      <c r="AH144" s="819"/>
      <c r="AI144" s="819"/>
      <c r="AJ144" s="819"/>
      <c r="AK144" s="819"/>
      <c r="AL144" s="819"/>
      <c r="AM144" s="819"/>
      <c r="AN144" s="819"/>
      <c r="AO144" s="819"/>
      <c r="AP144" s="819"/>
      <c r="AQ144" s="819"/>
      <c r="AR144" s="819"/>
      <c r="AS144" s="819"/>
      <c r="AT144" s="819"/>
      <c r="AU144" s="819"/>
      <c r="AV144" s="819"/>
      <c r="AW144" s="819"/>
      <c r="AX144" s="819"/>
      <c r="AY144" s="819"/>
      <c r="AZ144" s="819"/>
      <c r="BB144" s="819"/>
    </row>
    <row r="145" spans="1:54" ht="12.75" customHeight="1" thickTop="1" thickBot="1">
      <c r="A145" s="1403"/>
      <c r="B145" s="1403"/>
      <c r="C145" s="819"/>
      <c r="D145" s="819"/>
      <c r="E145" s="548"/>
      <c r="F145" s="2016"/>
      <c r="K145" s="2014"/>
      <c r="L145" s="553"/>
      <c r="U145" s="819"/>
      <c r="V145" s="819"/>
      <c r="W145" s="819"/>
      <c r="X145" s="819"/>
      <c r="Y145" s="819"/>
      <c r="Z145" s="819"/>
      <c r="AA145" s="819"/>
      <c r="AB145" s="819"/>
      <c r="AC145" s="819"/>
      <c r="AE145" s="819"/>
      <c r="AF145" s="819"/>
      <c r="AG145" s="819"/>
      <c r="AH145" s="819"/>
      <c r="AI145" s="819"/>
      <c r="AJ145" s="819"/>
      <c r="AK145" s="819"/>
      <c r="AL145" s="819"/>
      <c r="AM145" s="819"/>
      <c r="AN145" s="819"/>
      <c r="AO145" s="819"/>
      <c r="AP145" s="819"/>
      <c r="AQ145" s="819"/>
      <c r="AR145" s="819"/>
      <c r="AS145" s="819"/>
      <c r="AT145" s="819"/>
      <c r="AU145" s="819"/>
      <c r="AV145" s="819"/>
      <c r="AW145" s="819"/>
      <c r="AX145" s="819"/>
      <c r="AY145" s="819"/>
      <c r="AZ145" s="819"/>
      <c r="BB145" s="819"/>
    </row>
    <row r="146" spans="1:54" ht="12.75" customHeight="1" thickTop="1" thickBot="1">
      <c r="A146" s="1403"/>
      <c r="B146" s="1403"/>
      <c r="C146" s="2020" t="s">
        <v>334</v>
      </c>
      <c r="D146" s="2024"/>
      <c r="E146" s="1403"/>
      <c r="F146" s="1403"/>
      <c r="L146" s="554"/>
      <c r="M146" s="2019" t="s">
        <v>338</v>
      </c>
      <c r="N146" s="2020"/>
      <c r="U146" s="819"/>
      <c r="V146" s="819"/>
      <c r="W146" s="819"/>
      <c r="X146" s="819"/>
      <c r="Y146" s="819"/>
      <c r="Z146" s="819"/>
      <c r="AA146" s="819"/>
      <c r="AB146" s="819"/>
      <c r="AC146" s="819"/>
      <c r="AE146" s="819"/>
      <c r="AF146" s="819"/>
      <c r="AG146" s="819"/>
      <c r="AH146" s="819"/>
      <c r="AI146" s="819"/>
      <c r="AJ146" s="819"/>
      <c r="AK146" s="819"/>
      <c r="AL146" s="819"/>
      <c r="AM146" s="819"/>
      <c r="AN146" s="819"/>
      <c r="AO146" s="819"/>
      <c r="AP146" s="819"/>
      <c r="AQ146" s="819"/>
      <c r="AR146" s="819"/>
      <c r="AS146" s="819"/>
      <c r="AT146" s="819"/>
      <c r="AU146" s="819"/>
      <c r="AV146" s="819"/>
      <c r="AW146" s="819"/>
      <c r="AX146" s="819"/>
      <c r="AY146" s="819"/>
      <c r="AZ146" s="819"/>
      <c r="BB146" s="819"/>
    </row>
    <row r="147" spans="1:54" ht="13.5" customHeight="1" thickTop="1" thickBot="1">
      <c r="B147" s="819"/>
      <c r="C147" s="1339"/>
      <c r="D147" s="1340"/>
      <c r="E147" s="819"/>
      <c r="F147" s="819"/>
      <c r="G147" s="819"/>
      <c r="H147" s="819"/>
      <c r="I147" s="819"/>
      <c r="J147" s="819"/>
      <c r="K147" s="819"/>
      <c r="L147" s="1336"/>
      <c r="M147" s="819"/>
      <c r="N147" s="819"/>
      <c r="O147" s="819"/>
      <c r="P147" s="819"/>
      <c r="Q147" s="819"/>
      <c r="R147" s="819"/>
      <c r="S147" s="819"/>
      <c r="T147" s="819"/>
      <c r="U147" s="819"/>
      <c r="V147" s="819"/>
      <c r="W147" s="819"/>
      <c r="X147" s="819"/>
      <c r="Y147" s="819"/>
      <c r="Z147" s="819"/>
      <c r="AA147" s="819"/>
      <c r="AB147" s="819"/>
      <c r="AC147" s="819"/>
      <c r="AE147" s="819"/>
      <c r="AF147" s="819"/>
      <c r="AG147" s="819"/>
      <c r="AH147" s="819"/>
      <c r="AI147" s="819"/>
      <c r="AJ147" s="819"/>
      <c r="AK147" s="819"/>
      <c r="AL147" s="819"/>
      <c r="AM147" s="819"/>
      <c r="AN147" s="819"/>
      <c r="AO147" s="819"/>
      <c r="AP147" s="819"/>
      <c r="AQ147" s="819"/>
      <c r="AR147" s="819"/>
      <c r="AS147" s="819"/>
      <c r="AT147" s="819"/>
      <c r="AU147" s="819"/>
      <c r="AV147" s="819"/>
      <c r="AW147" s="819"/>
      <c r="AX147" s="819"/>
      <c r="AY147" s="819"/>
      <c r="AZ147" s="819"/>
      <c r="BB147" s="819"/>
    </row>
    <row r="148" spans="1:54" ht="13.5" customHeight="1" thickTop="1" thickBot="1">
      <c r="B148" s="819"/>
      <c r="C148" s="819"/>
      <c r="D148" s="1336"/>
      <c r="E148" s="1341"/>
      <c r="F148" s="2013" t="s">
        <v>1478</v>
      </c>
      <c r="G148" s="1332"/>
      <c r="H148" s="1332"/>
      <c r="I148" s="1332"/>
      <c r="J148" s="1332"/>
      <c r="K148" s="2009" t="s">
        <v>1475</v>
      </c>
      <c r="L148" s="1333"/>
      <c r="M148" s="819"/>
      <c r="N148" s="819"/>
      <c r="O148" s="819"/>
      <c r="P148" s="819"/>
      <c r="Q148" s="819"/>
      <c r="R148" s="819"/>
      <c r="S148" s="819"/>
      <c r="T148" s="819"/>
      <c r="U148" s="819"/>
      <c r="V148" s="819"/>
      <c r="W148" s="819"/>
      <c r="X148" s="819"/>
      <c r="Y148" s="819"/>
      <c r="Z148" s="819"/>
      <c r="AA148" s="819"/>
      <c r="AB148" s="819"/>
      <c r="AC148" s="819"/>
      <c r="AE148" s="819"/>
      <c r="AF148" s="819"/>
      <c r="AG148" s="819"/>
      <c r="AH148" s="819"/>
      <c r="AI148" s="819"/>
      <c r="AJ148" s="819"/>
      <c r="AK148" s="819"/>
      <c r="AL148" s="819"/>
      <c r="AM148" s="819"/>
      <c r="AN148" s="819"/>
      <c r="AO148" s="819"/>
      <c r="AP148" s="819"/>
      <c r="AQ148" s="819"/>
      <c r="AR148" s="819"/>
      <c r="AS148" s="819"/>
      <c r="AT148" s="819"/>
      <c r="AU148" s="819"/>
      <c r="AV148" s="819"/>
      <c r="AW148" s="819"/>
      <c r="AX148" s="819"/>
      <c r="AY148" s="819"/>
      <c r="AZ148" s="819"/>
      <c r="BA148" s="819"/>
    </row>
    <row r="149" spans="1:54" ht="12.75" customHeight="1" thickTop="1" thickBot="1">
      <c r="B149" s="819"/>
      <c r="C149" s="819"/>
      <c r="D149" s="819"/>
      <c r="E149" s="819"/>
      <c r="F149" s="2014"/>
      <c r="G149" s="819"/>
      <c r="H149" s="554"/>
      <c r="J149" s="819"/>
      <c r="K149" s="2010"/>
      <c r="L149" s="819"/>
      <c r="M149" s="819"/>
      <c r="N149" s="819"/>
      <c r="O149" s="819"/>
      <c r="P149" s="819"/>
      <c r="Q149" s="819"/>
      <c r="R149" s="819"/>
      <c r="S149" s="819"/>
      <c r="T149" s="819"/>
      <c r="U149" s="819"/>
      <c r="V149" s="819"/>
      <c r="W149" s="819"/>
      <c r="X149" s="819"/>
      <c r="Y149" s="819"/>
      <c r="Z149" s="819"/>
      <c r="AA149" s="819"/>
      <c r="AB149" s="819"/>
      <c r="AC149" s="819"/>
      <c r="AE149" s="819"/>
      <c r="AF149" s="819"/>
      <c r="AG149" s="819"/>
      <c r="AH149" s="819"/>
      <c r="AI149" s="819"/>
      <c r="AJ149" s="819"/>
      <c r="AK149" s="819"/>
      <c r="AL149" s="819"/>
      <c r="AM149" s="819"/>
      <c r="AN149" s="819"/>
      <c r="AO149" s="819"/>
      <c r="AP149" s="819"/>
      <c r="AQ149" s="819"/>
      <c r="AR149" s="819"/>
      <c r="AS149" s="819"/>
      <c r="AT149" s="819"/>
      <c r="AU149" s="819"/>
      <c r="AV149" s="819"/>
      <c r="AW149" s="819"/>
      <c r="AX149" s="819"/>
      <c r="AY149" s="819"/>
      <c r="AZ149" s="819"/>
      <c r="BA149" s="819"/>
    </row>
    <row r="150" spans="1:54" ht="12.75" customHeight="1">
      <c r="B150" s="819"/>
      <c r="C150" s="819"/>
      <c r="D150" s="819"/>
      <c r="E150" s="819"/>
      <c r="F150" s="819"/>
      <c r="G150" s="819"/>
      <c r="H150" s="554"/>
      <c r="J150" s="819"/>
      <c r="K150" s="819"/>
      <c r="L150" s="819"/>
      <c r="M150" s="819"/>
      <c r="N150" s="819"/>
      <c r="O150" s="819"/>
      <c r="P150" s="819"/>
      <c r="Q150" s="819"/>
      <c r="R150" s="819"/>
      <c r="S150" s="819"/>
      <c r="T150" s="819"/>
      <c r="U150" s="819"/>
      <c r="V150" s="819"/>
      <c r="W150" s="819"/>
      <c r="X150" s="819"/>
      <c r="Y150" s="819"/>
      <c r="Z150" s="819"/>
      <c r="AA150" s="819"/>
      <c r="AB150" s="819"/>
      <c r="AC150" s="819"/>
      <c r="AE150" s="819"/>
      <c r="AF150" s="819"/>
      <c r="AG150" s="819"/>
      <c r="AH150" s="819"/>
      <c r="AI150" s="819"/>
      <c r="AJ150" s="819"/>
      <c r="AK150" s="819"/>
      <c r="AL150" s="819"/>
      <c r="AM150" s="819"/>
      <c r="AN150" s="819"/>
      <c r="AO150" s="819"/>
      <c r="AP150" s="819"/>
      <c r="AQ150" s="819"/>
      <c r="AR150" s="819"/>
      <c r="AS150" s="819"/>
      <c r="AT150" s="819"/>
      <c r="AU150" s="819"/>
      <c r="AV150" s="819"/>
      <c r="AW150" s="819"/>
      <c r="AX150" s="819"/>
      <c r="AY150" s="819"/>
      <c r="AZ150" s="819"/>
      <c r="BA150" s="819"/>
    </row>
    <row r="151" spans="1:54" ht="13.5" customHeight="1">
      <c r="B151" s="819"/>
      <c r="C151" s="819"/>
      <c r="D151" s="819"/>
      <c r="E151" s="819"/>
      <c r="F151" s="819"/>
      <c r="G151" s="819"/>
      <c r="H151" s="567"/>
      <c r="I151" s="533"/>
      <c r="J151" s="819"/>
      <c r="K151" s="819"/>
      <c r="L151" s="819"/>
      <c r="M151" s="819"/>
      <c r="N151" s="819"/>
      <c r="O151" s="819"/>
      <c r="P151" s="819"/>
      <c r="Q151" s="819"/>
      <c r="R151" s="819"/>
      <c r="S151" s="819"/>
      <c r="T151" s="819"/>
      <c r="U151" s="819"/>
      <c r="V151" s="819"/>
      <c r="W151" s="819"/>
      <c r="X151" s="819"/>
      <c r="Y151" s="819"/>
      <c r="Z151" s="819"/>
      <c r="AA151" s="819"/>
      <c r="AB151" s="819"/>
      <c r="AC151" s="819"/>
      <c r="AE151" s="819"/>
      <c r="AF151" s="819"/>
      <c r="AG151" s="819"/>
      <c r="AH151" s="819"/>
      <c r="AI151" s="819"/>
      <c r="AJ151" s="819"/>
      <c r="AK151" s="819"/>
      <c r="AL151" s="819"/>
      <c r="AM151" s="819"/>
      <c r="AN151" s="819"/>
      <c r="AO151" s="819"/>
      <c r="AP151" s="819"/>
      <c r="AQ151" s="819"/>
      <c r="AR151" s="819"/>
      <c r="AS151" s="819"/>
      <c r="AT151" s="819"/>
      <c r="AU151" s="819"/>
      <c r="AV151" s="819"/>
      <c r="AW151" s="819"/>
      <c r="AX151" s="819"/>
      <c r="AY151" s="819"/>
      <c r="AZ151" s="819"/>
      <c r="BA151" s="819"/>
    </row>
    <row r="152" spans="1:54" ht="13.5" customHeight="1">
      <c r="B152" s="819"/>
      <c r="C152" s="819"/>
      <c r="D152" s="819"/>
      <c r="E152" s="819"/>
      <c r="F152" s="819"/>
      <c r="G152" s="819"/>
      <c r="H152" s="2012" t="s">
        <v>1480</v>
      </c>
      <c r="I152" s="2012"/>
      <c r="J152" s="819"/>
      <c r="K152" s="819"/>
      <c r="L152" s="819"/>
      <c r="M152" s="819"/>
      <c r="N152" s="819"/>
      <c r="O152" s="819"/>
      <c r="P152" s="819"/>
      <c r="Q152" s="819"/>
      <c r="R152" s="819"/>
      <c r="S152" s="819"/>
      <c r="T152" s="819"/>
      <c r="U152" s="819"/>
      <c r="V152" s="819"/>
      <c r="W152" s="819"/>
      <c r="X152" s="819"/>
      <c r="Y152" s="819"/>
      <c r="Z152" s="819"/>
      <c r="AA152" s="819"/>
      <c r="AB152" s="819"/>
      <c r="AC152" s="819"/>
      <c r="AE152" s="819"/>
      <c r="AF152" s="819"/>
      <c r="AG152" s="819"/>
      <c r="AH152" s="819"/>
      <c r="AI152" s="819"/>
      <c r="AJ152" s="819"/>
      <c r="AK152" s="819"/>
      <c r="AL152" s="819"/>
      <c r="AM152" s="819"/>
      <c r="AN152" s="819"/>
      <c r="AO152" s="819"/>
      <c r="AP152" s="819"/>
      <c r="AQ152" s="819"/>
      <c r="AR152" s="819"/>
      <c r="AS152" s="819"/>
      <c r="AT152" s="819"/>
      <c r="AU152" s="819"/>
      <c r="AV152" s="819"/>
      <c r="AW152" s="819"/>
      <c r="AX152" s="819"/>
      <c r="AY152" s="819"/>
      <c r="AZ152" s="819"/>
      <c r="BA152" s="819"/>
    </row>
    <row r="153" spans="1:54" ht="13.5" customHeight="1">
      <c r="B153" s="819"/>
      <c r="C153" s="819"/>
      <c r="D153" s="819"/>
      <c r="E153" s="819"/>
      <c r="F153" s="819"/>
      <c r="G153" s="819"/>
      <c r="H153" s="590"/>
      <c r="I153" s="590"/>
      <c r="J153" s="819"/>
      <c r="K153" s="819"/>
      <c r="L153" s="819"/>
      <c r="M153" s="819"/>
      <c r="N153" s="819"/>
      <c r="O153" s="819"/>
      <c r="P153" s="819"/>
      <c r="Q153" s="819"/>
      <c r="R153" s="819"/>
      <c r="S153" s="819"/>
      <c r="T153" s="819"/>
      <c r="U153" s="819"/>
      <c r="V153" s="819"/>
      <c r="W153" s="819"/>
      <c r="X153" s="819"/>
      <c r="Y153" s="819"/>
      <c r="Z153" s="819"/>
      <c r="AA153" s="819"/>
      <c r="AB153" s="819"/>
      <c r="AC153" s="819"/>
      <c r="AE153" s="819"/>
      <c r="AF153" s="819"/>
      <c r="AG153" s="819"/>
      <c r="AH153" s="819"/>
      <c r="AI153" s="819"/>
      <c r="AJ153" s="819"/>
      <c r="AK153" s="819"/>
      <c r="AL153" s="819"/>
      <c r="AM153" s="819"/>
      <c r="AN153" s="819"/>
      <c r="AO153" s="819"/>
      <c r="AP153" s="819"/>
      <c r="AQ153" s="819"/>
      <c r="AR153" s="819"/>
      <c r="AS153" s="819"/>
      <c r="AT153" s="819"/>
      <c r="AU153" s="819"/>
      <c r="AV153" s="819"/>
      <c r="AW153" s="819"/>
      <c r="AX153" s="819"/>
      <c r="AY153" s="819"/>
      <c r="AZ153" s="819"/>
      <c r="BA153" s="819"/>
    </row>
    <row r="154" spans="1:54" ht="13.5" customHeight="1">
      <c r="A154" s="1403"/>
      <c r="B154" s="1403"/>
      <c r="C154" s="2008" t="s">
        <v>1476</v>
      </c>
      <c r="D154" s="2008"/>
      <c r="U154" s="819"/>
      <c r="V154" s="819"/>
      <c r="W154" s="819"/>
      <c r="X154" s="819"/>
      <c r="Y154" s="819"/>
      <c r="Z154" s="819"/>
      <c r="AA154" s="819"/>
      <c r="AB154" s="819"/>
      <c r="AC154" s="819"/>
      <c r="AE154" s="819"/>
      <c r="AF154" s="819"/>
      <c r="AG154" s="819"/>
      <c r="AH154" s="819"/>
      <c r="AI154" s="819"/>
      <c r="AJ154" s="819"/>
      <c r="AK154" s="819"/>
      <c r="AL154" s="819"/>
      <c r="AM154" s="819"/>
      <c r="AN154" s="819"/>
      <c r="AO154" s="819"/>
      <c r="AP154" s="819"/>
      <c r="AQ154" s="819"/>
      <c r="AR154" s="819"/>
      <c r="AS154" s="819"/>
      <c r="AT154" s="819"/>
      <c r="AU154" s="819"/>
      <c r="AV154" s="819"/>
      <c r="AW154" s="819"/>
      <c r="AX154" s="819"/>
      <c r="AY154" s="819"/>
      <c r="AZ154" s="819"/>
      <c r="BA154" s="819"/>
    </row>
    <row r="155" spans="1:54" ht="13.5" customHeight="1">
      <c r="A155" s="819"/>
      <c r="B155" s="819"/>
      <c r="C155" s="819"/>
      <c r="D155" s="2093" t="s">
        <v>1490</v>
      </c>
      <c r="E155" s="2093"/>
      <c r="F155" s="2093"/>
      <c r="G155" s="2093"/>
      <c r="H155" s="2093"/>
      <c r="I155" s="2093"/>
      <c r="J155" s="2093"/>
      <c r="K155" s="2093"/>
      <c r="L155" s="2093"/>
      <c r="M155" s="2093"/>
      <c r="N155" s="2093"/>
      <c r="O155" s="2093"/>
      <c r="P155" s="2093"/>
      <c r="Q155" s="2093"/>
      <c r="R155" s="2093"/>
      <c r="S155" s="2093"/>
      <c r="T155" s="2093"/>
      <c r="U155" s="2093"/>
      <c r="V155" s="2093"/>
      <c r="W155" s="2093"/>
      <c r="X155" s="2093"/>
      <c r="Y155" s="2093"/>
      <c r="Z155" s="2093"/>
      <c r="AA155" s="2093"/>
      <c r="AB155" s="2093"/>
      <c r="AC155" s="819"/>
      <c r="AE155" s="819"/>
      <c r="AF155" s="819"/>
      <c r="AG155" s="819"/>
      <c r="AH155" s="819"/>
      <c r="AI155" s="819"/>
      <c r="AJ155" s="819"/>
      <c r="AK155" s="819"/>
      <c r="AL155" s="819"/>
      <c r="AM155" s="819"/>
      <c r="AN155" s="819"/>
      <c r="AO155" s="819"/>
      <c r="AP155" s="819"/>
      <c r="AQ155" s="819"/>
      <c r="AR155" s="819"/>
      <c r="AS155" s="819"/>
      <c r="AT155" s="819"/>
      <c r="AU155" s="819"/>
      <c r="AV155" s="819"/>
      <c r="AW155" s="819"/>
      <c r="AX155" s="819"/>
      <c r="AY155" s="819"/>
      <c r="AZ155" s="819"/>
      <c r="BB155" s="819"/>
    </row>
    <row r="156" spans="1:54" ht="13.5" customHeight="1">
      <c r="A156" s="819"/>
      <c r="B156" s="819"/>
      <c r="C156" s="819"/>
      <c r="D156" s="2093"/>
      <c r="E156" s="2093"/>
      <c r="F156" s="2093"/>
      <c r="G156" s="2093"/>
      <c r="H156" s="2093"/>
      <c r="I156" s="2093"/>
      <c r="J156" s="2093"/>
      <c r="K156" s="2093"/>
      <c r="L156" s="2093"/>
      <c r="M156" s="2093"/>
      <c r="N156" s="2093"/>
      <c r="O156" s="2093"/>
      <c r="P156" s="2093"/>
      <c r="Q156" s="2093"/>
      <c r="R156" s="2093"/>
      <c r="S156" s="2093"/>
      <c r="T156" s="2093"/>
      <c r="U156" s="2093"/>
      <c r="V156" s="2093"/>
      <c r="W156" s="2093"/>
      <c r="X156" s="2093"/>
      <c r="Y156" s="2093"/>
      <c r="Z156" s="2093"/>
      <c r="AA156" s="2093"/>
      <c r="AB156" s="2093"/>
      <c r="AC156" s="819"/>
      <c r="AE156" s="819"/>
      <c r="AF156" s="819"/>
      <c r="AG156" s="819"/>
      <c r="AH156" s="819"/>
      <c r="AI156" s="819"/>
      <c r="AJ156" s="819"/>
      <c r="AK156" s="819"/>
      <c r="AL156" s="819"/>
      <c r="AM156" s="819"/>
      <c r="AN156" s="819"/>
      <c r="AO156" s="819"/>
      <c r="AP156" s="819"/>
      <c r="AQ156" s="819"/>
      <c r="AR156" s="819"/>
      <c r="AS156" s="819"/>
      <c r="AT156" s="819"/>
      <c r="AU156" s="819"/>
      <c r="AV156" s="819"/>
      <c r="AW156" s="819"/>
      <c r="AX156" s="819"/>
      <c r="AY156" s="819"/>
      <c r="AZ156" s="819"/>
      <c r="BA156" s="819"/>
    </row>
    <row r="157" spans="1:54" ht="13.5" customHeight="1">
      <c r="A157" s="819"/>
      <c r="B157" s="819"/>
      <c r="C157" s="819"/>
      <c r="D157" s="2093"/>
      <c r="E157" s="2093"/>
      <c r="F157" s="2093"/>
      <c r="G157" s="2093"/>
      <c r="H157" s="2093"/>
      <c r="I157" s="2093"/>
      <c r="J157" s="2093"/>
      <c r="K157" s="2093"/>
      <c r="L157" s="2093"/>
      <c r="M157" s="2093"/>
      <c r="N157" s="2093"/>
      <c r="O157" s="2093"/>
      <c r="P157" s="2093"/>
      <c r="Q157" s="2093"/>
      <c r="R157" s="2093"/>
      <c r="S157" s="2093"/>
      <c r="T157" s="2093"/>
      <c r="U157" s="2093"/>
      <c r="V157" s="2093"/>
      <c r="W157" s="2093"/>
      <c r="X157" s="2093"/>
      <c r="Y157" s="2093"/>
      <c r="Z157" s="2093"/>
      <c r="AA157" s="2093"/>
      <c r="AB157" s="2093"/>
      <c r="AC157" s="819"/>
      <c r="AE157" s="819"/>
      <c r="AF157" s="819"/>
      <c r="AG157" s="819"/>
      <c r="AH157" s="819"/>
      <c r="AI157" s="819"/>
      <c r="AJ157" s="819"/>
      <c r="AK157" s="819"/>
      <c r="AL157" s="819"/>
      <c r="AM157" s="819"/>
      <c r="AN157" s="819"/>
      <c r="AO157" s="819"/>
      <c r="AP157" s="819"/>
      <c r="AQ157" s="819"/>
      <c r="AR157" s="819"/>
      <c r="AS157" s="819"/>
      <c r="AT157" s="819"/>
      <c r="AU157" s="819"/>
      <c r="AV157" s="819"/>
      <c r="AW157" s="819"/>
      <c r="AX157" s="819"/>
      <c r="AY157" s="819"/>
      <c r="AZ157" s="819"/>
      <c r="BA157" s="819"/>
    </row>
    <row r="158" spans="1:54" ht="13.5" customHeight="1">
      <c r="A158" s="819"/>
      <c r="B158" s="819"/>
      <c r="C158" s="819"/>
      <c r="D158" s="2093"/>
      <c r="E158" s="2093"/>
      <c r="F158" s="2093"/>
      <c r="G158" s="2093"/>
      <c r="H158" s="2093"/>
      <c r="I158" s="2093"/>
      <c r="J158" s="2093"/>
      <c r="K158" s="2093"/>
      <c r="L158" s="2093"/>
      <c r="M158" s="2093"/>
      <c r="N158" s="2093"/>
      <c r="O158" s="2093"/>
      <c r="P158" s="2093"/>
      <c r="Q158" s="2093"/>
      <c r="R158" s="2093"/>
      <c r="S158" s="2093"/>
      <c r="T158" s="2093"/>
      <c r="U158" s="2093"/>
      <c r="V158" s="2093"/>
      <c r="W158" s="2093"/>
      <c r="X158" s="2093"/>
      <c r="Y158" s="2093"/>
      <c r="Z158" s="2093"/>
      <c r="AA158" s="2093"/>
      <c r="AB158" s="2093"/>
      <c r="AC158" s="819"/>
      <c r="AE158" s="819"/>
      <c r="AF158" s="819"/>
      <c r="AG158" s="819"/>
      <c r="AH158" s="819"/>
      <c r="AI158" s="819"/>
      <c r="AJ158" s="819"/>
      <c r="AK158" s="819"/>
      <c r="AL158" s="819"/>
      <c r="AM158" s="819"/>
      <c r="AN158" s="819"/>
      <c r="AO158" s="819"/>
      <c r="AP158" s="819"/>
      <c r="AQ158" s="819"/>
      <c r="AR158" s="819"/>
      <c r="AS158" s="819"/>
      <c r="AT158" s="819"/>
      <c r="AU158" s="819"/>
      <c r="AV158" s="819"/>
      <c r="AW158" s="819"/>
      <c r="AX158" s="819"/>
      <c r="AY158" s="819"/>
      <c r="AZ158" s="819"/>
      <c r="BA158" s="819"/>
    </row>
    <row r="159" spans="1:54" ht="13.5" customHeight="1">
      <c r="A159" s="819"/>
      <c r="B159" s="819"/>
      <c r="C159" s="819"/>
      <c r="D159" s="2093"/>
      <c r="E159" s="2093"/>
      <c r="F159" s="2093"/>
      <c r="G159" s="2093"/>
      <c r="H159" s="2093"/>
      <c r="I159" s="2093"/>
      <c r="J159" s="2093"/>
      <c r="K159" s="2093"/>
      <c r="L159" s="2093"/>
      <c r="M159" s="2093"/>
      <c r="N159" s="2093"/>
      <c r="O159" s="2093"/>
      <c r="P159" s="2093"/>
      <c r="Q159" s="2093"/>
      <c r="R159" s="2093"/>
      <c r="S159" s="2093"/>
      <c r="T159" s="2093"/>
      <c r="U159" s="2093"/>
      <c r="V159" s="2093"/>
      <c r="W159" s="2093"/>
      <c r="X159" s="2093"/>
      <c r="Y159" s="2093"/>
      <c r="Z159" s="2093"/>
      <c r="AA159" s="2093"/>
      <c r="AB159" s="2093"/>
      <c r="AC159" s="819"/>
      <c r="AE159" s="819"/>
      <c r="AF159" s="819"/>
      <c r="AG159" s="819"/>
      <c r="AH159" s="819"/>
      <c r="AI159" s="819"/>
      <c r="AJ159" s="819"/>
      <c r="AK159" s="819"/>
      <c r="AL159" s="819"/>
      <c r="AM159" s="819"/>
      <c r="AN159" s="819"/>
      <c r="AO159" s="819"/>
      <c r="AP159" s="819"/>
      <c r="AQ159" s="819"/>
      <c r="AR159" s="819"/>
      <c r="AS159" s="819"/>
      <c r="AT159" s="819"/>
      <c r="AU159" s="819"/>
      <c r="AV159" s="819"/>
      <c r="AW159" s="819"/>
      <c r="AX159" s="819"/>
      <c r="AY159" s="819"/>
      <c r="AZ159" s="819"/>
      <c r="BA159" s="819"/>
    </row>
    <row r="160" spans="1:54" ht="13.5" customHeight="1" thickBot="1">
      <c r="B160" s="1323"/>
      <c r="C160" s="1323"/>
      <c r="D160" s="1331"/>
      <c r="E160" s="1331"/>
      <c r="F160" s="1331"/>
      <c r="G160" s="1331"/>
      <c r="H160" s="1331"/>
      <c r="I160" s="1331"/>
      <c r="J160" s="1331"/>
      <c r="K160" s="1331"/>
      <c r="L160" s="1331"/>
      <c r="M160" s="1331"/>
      <c r="N160" s="1331"/>
      <c r="O160" s="1331"/>
      <c r="P160" s="1331"/>
      <c r="Q160" s="1331"/>
      <c r="R160" s="1331"/>
      <c r="S160" s="1331"/>
      <c r="T160" s="1331"/>
      <c r="U160" s="1331"/>
      <c r="V160" s="1331"/>
      <c r="W160" s="1331"/>
      <c r="X160" s="1331"/>
      <c r="Y160" s="1331"/>
      <c r="Z160" s="1331"/>
      <c r="AA160" s="1331"/>
      <c r="AB160" s="1331"/>
      <c r="AC160" s="819"/>
      <c r="AE160" s="819"/>
      <c r="AF160" s="819"/>
      <c r="AG160" s="819"/>
      <c r="AH160" s="819"/>
      <c r="AI160" s="819"/>
      <c r="AJ160" s="819"/>
      <c r="AK160" s="819"/>
      <c r="AL160" s="819"/>
      <c r="AM160" s="819"/>
      <c r="AN160" s="819"/>
      <c r="AO160" s="819"/>
      <c r="AP160" s="819"/>
      <c r="AQ160" s="819"/>
      <c r="AR160" s="819"/>
      <c r="AS160" s="819"/>
      <c r="AT160" s="819"/>
      <c r="AU160" s="819"/>
      <c r="AV160" s="819"/>
      <c r="AW160" s="819"/>
      <c r="AX160" s="819"/>
      <c r="AY160" s="819"/>
      <c r="AZ160" s="819"/>
      <c r="BA160" s="819"/>
    </row>
    <row r="161" spans="1:54" ht="13.5" customHeight="1" thickTop="1">
      <c r="B161" s="819"/>
      <c r="C161" s="819"/>
      <c r="D161" s="819"/>
      <c r="E161" s="819"/>
      <c r="F161" s="819"/>
      <c r="G161" s="819"/>
      <c r="H161" s="819"/>
      <c r="I161" s="819"/>
      <c r="J161" s="819"/>
      <c r="K161" s="819"/>
      <c r="L161" s="819"/>
      <c r="M161" s="819"/>
      <c r="N161" s="819"/>
      <c r="O161" s="819"/>
      <c r="P161" s="819"/>
      <c r="Q161" s="819"/>
      <c r="R161" s="819"/>
      <c r="S161" s="819"/>
      <c r="T161" s="819"/>
      <c r="U161" s="819"/>
      <c r="V161" s="819"/>
      <c r="W161" s="819"/>
      <c r="X161" s="819"/>
      <c r="Y161" s="819"/>
      <c r="Z161" s="819"/>
      <c r="AA161" s="819"/>
      <c r="AB161" s="819"/>
      <c r="AC161" s="819"/>
      <c r="AE161" s="819"/>
      <c r="AF161" s="819"/>
      <c r="AG161" s="819"/>
      <c r="AH161" s="819"/>
      <c r="AI161" s="819"/>
      <c r="AJ161" s="819"/>
      <c r="AK161" s="819"/>
      <c r="AL161" s="819"/>
      <c r="AM161" s="819"/>
      <c r="AN161" s="819"/>
      <c r="AO161" s="819"/>
      <c r="AP161" s="819"/>
      <c r="AQ161" s="819"/>
      <c r="AR161" s="819"/>
      <c r="AS161" s="819"/>
      <c r="AT161" s="819"/>
      <c r="AU161" s="819"/>
      <c r="AV161" s="819"/>
      <c r="AW161" s="819"/>
      <c r="AX161" s="819"/>
      <c r="AY161" s="819"/>
      <c r="AZ161" s="819"/>
      <c r="BA161" s="819"/>
    </row>
    <row r="162" spans="1:54" ht="13.5" customHeight="1">
      <c r="A162" s="1403"/>
      <c r="B162" s="1403"/>
      <c r="C162" s="1403"/>
      <c r="D162" s="1403"/>
      <c r="H162" s="2012" t="s">
        <v>341</v>
      </c>
      <c r="I162" s="2012"/>
      <c r="U162" s="819"/>
      <c r="V162" s="819"/>
      <c r="W162" s="819"/>
      <c r="X162" s="819"/>
      <c r="Y162" s="819"/>
      <c r="Z162" s="819"/>
      <c r="AA162" s="819"/>
      <c r="AB162" s="819"/>
      <c r="AC162" s="819"/>
      <c r="AE162" s="819"/>
      <c r="AF162" s="819"/>
      <c r="AG162" s="819"/>
      <c r="AH162" s="819"/>
      <c r="AI162" s="819"/>
      <c r="AJ162" s="819"/>
      <c r="AK162" s="819"/>
      <c r="AL162" s="819"/>
      <c r="AM162" s="819"/>
      <c r="AN162" s="819"/>
      <c r="AO162" s="819"/>
      <c r="AP162" s="819"/>
      <c r="AQ162" s="819"/>
      <c r="AR162" s="819"/>
      <c r="AS162" s="819"/>
      <c r="AT162" s="819"/>
      <c r="AU162" s="819"/>
      <c r="AV162" s="819"/>
      <c r="AW162" s="819"/>
      <c r="AX162" s="819"/>
      <c r="AY162" s="819"/>
      <c r="AZ162" s="819"/>
      <c r="BB162" s="819"/>
    </row>
    <row r="163" spans="1:54" ht="13.5" customHeight="1">
      <c r="A163" s="1403"/>
      <c r="B163" s="1403"/>
      <c r="C163" s="1403"/>
      <c r="D163" s="1403"/>
      <c r="H163" s="554"/>
      <c r="U163" s="819"/>
      <c r="V163" s="819"/>
      <c r="W163" s="819"/>
      <c r="X163" s="819"/>
      <c r="Y163" s="819"/>
      <c r="Z163" s="819"/>
      <c r="AA163" s="819"/>
      <c r="AB163" s="819"/>
      <c r="AC163" s="819"/>
      <c r="AE163" s="819"/>
      <c r="AF163" s="819"/>
      <c r="AG163" s="819"/>
      <c r="AH163" s="819"/>
      <c r="AI163" s="819"/>
      <c r="AJ163" s="819"/>
      <c r="AK163" s="819"/>
      <c r="AL163" s="819"/>
      <c r="AM163" s="819"/>
      <c r="AN163" s="819"/>
      <c r="AO163" s="819"/>
      <c r="AP163" s="819"/>
      <c r="AQ163" s="819"/>
      <c r="AR163" s="819"/>
      <c r="AS163" s="819"/>
      <c r="AT163" s="819"/>
      <c r="AU163" s="819"/>
      <c r="AV163" s="819"/>
      <c r="AW163" s="819"/>
      <c r="AX163" s="819"/>
      <c r="AY163" s="819"/>
      <c r="AZ163" s="819"/>
      <c r="BB163" s="819"/>
    </row>
    <row r="164" spans="1:54" ht="13.5" customHeight="1" thickBot="1">
      <c r="A164" s="1403"/>
      <c r="C164" s="1403"/>
      <c r="D164" s="1403"/>
      <c r="H164" s="554"/>
      <c r="U164" s="819"/>
      <c r="V164" s="819"/>
      <c r="W164" s="819"/>
      <c r="X164" s="819"/>
      <c r="Y164" s="819"/>
      <c r="Z164" s="819"/>
      <c r="AA164" s="819"/>
      <c r="AB164" s="819"/>
      <c r="AC164" s="819"/>
      <c r="AE164" s="819"/>
      <c r="AF164" s="819"/>
      <c r="AG164" s="819"/>
      <c r="AH164" s="819"/>
      <c r="AI164" s="819"/>
      <c r="AJ164" s="819"/>
      <c r="AK164" s="819"/>
      <c r="AL164" s="819"/>
      <c r="AM164" s="819"/>
      <c r="AN164" s="819"/>
      <c r="AO164" s="819"/>
      <c r="AP164" s="819"/>
      <c r="AQ164" s="819"/>
      <c r="AR164" s="819"/>
      <c r="AS164" s="819"/>
      <c r="AT164" s="819"/>
      <c r="AU164" s="819"/>
      <c r="AV164" s="819"/>
      <c r="AW164" s="819"/>
      <c r="AX164" s="819"/>
      <c r="AY164" s="819"/>
      <c r="AZ164" s="819"/>
      <c r="BB164" s="819"/>
    </row>
    <row r="165" spans="1:54" ht="13.5" customHeight="1" thickTop="1" thickBot="1">
      <c r="A165" s="1403"/>
      <c r="C165" s="819"/>
      <c r="D165" s="819"/>
      <c r="E165" s="1408"/>
      <c r="F165" s="2015" t="s">
        <v>69</v>
      </c>
      <c r="G165" s="549"/>
      <c r="H165" s="571"/>
      <c r="I165" s="551"/>
      <c r="J165" s="1408"/>
      <c r="K165" s="2013" t="s">
        <v>1473</v>
      </c>
      <c r="L165" s="1408"/>
      <c r="U165" s="819"/>
      <c r="V165" s="819"/>
      <c r="W165" s="819"/>
      <c r="X165" s="819"/>
      <c r="Y165" s="819"/>
      <c r="Z165" s="819"/>
      <c r="AA165" s="819"/>
      <c r="AB165" s="819"/>
      <c r="AC165" s="819"/>
      <c r="AE165" s="819"/>
      <c r="AF165" s="819"/>
      <c r="AG165" s="819"/>
      <c r="AH165" s="819"/>
      <c r="AI165" s="819"/>
      <c r="AJ165" s="819"/>
      <c r="AK165" s="819"/>
      <c r="AL165" s="819"/>
      <c r="AM165" s="819"/>
      <c r="AN165" s="819"/>
      <c r="AO165" s="819"/>
      <c r="AP165" s="819"/>
      <c r="AQ165" s="819"/>
      <c r="AR165" s="819"/>
      <c r="AS165" s="819"/>
      <c r="AT165" s="819"/>
      <c r="AU165" s="819"/>
      <c r="AV165" s="819"/>
      <c r="AW165" s="819"/>
      <c r="AX165" s="819"/>
      <c r="AY165" s="819"/>
      <c r="AZ165" s="819"/>
      <c r="BB165" s="819"/>
    </row>
    <row r="166" spans="1:54" ht="12.75" customHeight="1" thickTop="1" thickBot="1">
      <c r="A166" s="1403"/>
      <c r="B166" s="1403"/>
      <c r="C166" s="819"/>
      <c r="D166" s="819"/>
      <c r="E166" s="548"/>
      <c r="F166" s="2016"/>
      <c r="K166" s="2014"/>
      <c r="L166" s="553"/>
      <c r="U166" s="819"/>
      <c r="V166" s="819"/>
      <c r="W166" s="819"/>
      <c r="X166" s="819"/>
      <c r="Y166" s="819"/>
      <c r="Z166" s="819"/>
      <c r="AA166" s="819"/>
      <c r="AB166" s="819"/>
      <c r="AC166" s="819"/>
      <c r="AE166" s="819"/>
      <c r="AF166" s="819"/>
      <c r="AG166" s="819"/>
      <c r="AH166" s="819"/>
      <c r="AI166" s="819"/>
      <c r="AJ166" s="819"/>
      <c r="AK166" s="819"/>
      <c r="AL166" s="819"/>
      <c r="AM166" s="819"/>
      <c r="AN166" s="819"/>
      <c r="AO166" s="819"/>
      <c r="AP166" s="819"/>
      <c r="AQ166" s="819"/>
      <c r="AR166" s="819"/>
      <c r="AS166" s="819"/>
      <c r="AT166" s="819"/>
      <c r="AU166" s="819"/>
      <c r="AV166" s="819"/>
      <c r="AW166" s="819"/>
      <c r="AX166" s="819"/>
      <c r="AY166" s="819"/>
      <c r="AZ166" s="819"/>
      <c r="BB166" s="819"/>
    </row>
    <row r="167" spans="1:54" ht="12.75" customHeight="1" thickTop="1" thickBot="1">
      <c r="A167" s="1403"/>
      <c r="B167" s="2011" t="s">
        <v>349</v>
      </c>
      <c r="C167" s="2020" t="s">
        <v>334</v>
      </c>
      <c r="D167" s="2024"/>
      <c r="E167" s="1403"/>
      <c r="F167" s="1403"/>
      <c r="L167" s="554"/>
      <c r="M167" s="2019" t="s">
        <v>338</v>
      </c>
      <c r="N167" s="2020"/>
      <c r="U167" s="819"/>
      <c r="V167" s="819"/>
      <c r="W167" s="819"/>
      <c r="X167" s="819"/>
      <c r="Y167" s="819"/>
      <c r="Z167" s="819"/>
      <c r="AA167" s="819"/>
      <c r="AB167" s="819"/>
      <c r="AC167" s="819"/>
      <c r="AE167" s="819"/>
      <c r="AF167" s="819"/>
      <c r="AG167" s="819"/>
      <c r="AH167" s="819"/>
      <c r="AI167" s="819"/>
      <c r="AJ167" s="819"/>
      <c r="AK167" s="819"/>
      <c r="AL167" s="819"/>
      <c r="AM167" s="819"/>
      <c r="AN167" s="819"/>
      <c r="AO167" s="819"/>
      <c r="AP167" s="819"/>
      <c r="AQ167" s="819"/>
      <c r="AR167" s="819"/>
      <c r="AS167" s="819"/>
      <c r="AT167" s="819"/>
      <c r="AU167" s="819"/>
      <c r="AV167" s="819"/>
      <c r="AW167" s="819"/>
      <c r="AX167" s="819"/>
      <c r="AY167" s="819"/>
      <c r="AZ167" s="819"/>
      <c r="BB167" s="819"/>
    </row>
    <row r="168" spans="1:54" ht="13.5" customHeight="1" thickTop="1" thickBot="1">
      <c r="B168" s="2011"/>
      <c r="C168" s="1339"/>
      <c r="D168" s="1340"/>
      <c r="E168" s="819"/>
      <c r="F168" s="819"/>
      <c r="G168" s="819"/>
      <c r="H168" s="819"/>
      <c r="I168" s="819"/>
      <c r="J168" s="819"/>
      <c r="K168" s="819"/>
      <c r="L168" s="1336"/>
      <c r="M168" s="819"/>
      <c r="N168" s="819"/>
      <c r="O168" s="819"/>
      <c r="P168" s="819"/>
      <c r="Q168" s="819"/>
      <c r="R168" s="819"/>
      <c r="S168" s="819"/>
      <c r="T168" s="819"/>
      <c r="U168" s="819"/>
      <c r="V168" s="819"/>
      <c r="W168" s="819"/>
      <c r="X168" s="819"/>
      <c r="Y168" s="819"/>
      <c r="Z168" s="819"/>
      <c r="AA168" s="819"/>
      <c r="AB168" s="819"/>
      <c r="AC168" s="819"/>
      <c r="AE168" s="819"/>
      <c r="AF168" s="819"/>
      <c r="AG168" s="819"/>
      <c r="AH168" s="819"/>
      <c r="AI168" s="819"/>
      <c r="AJ168" s="819"/>
      <c r="AK168" s="819"/>
      <c r="AL168" s="819"/>
      <c r="AM168" s="819"/>
      <c r="AN168" s="819"/>
      <c r="AO168" s="819"/>
      <c r="AP168" s="819"/>
      <c r="AQ168" s="819"/>
      <c r="AR168" s="819"/>
      <c r="AS168" s="819"/>
      <c r="AT168" s="819"/>
      <c r="AU168" s="819"/>
      <c r="AV168" s="819"/>
      <c r="AW168" s="819"/>
      <c r="AX168" s="819"/>
      <c r="AY168" s="819"/>
      <c r="AZ168" s="819"/>
      <c r="BB168" s="819"/>
    </row>
    <row r="169" spans="1:54" ht="13.5" customHeight="1" thickTop="1" thickBot="1">
      <c r="B169" s="819"/>
      <c r="C169" s="819"/>
      <c r="D169" s="1336"/>
      <c r="E169" s="1341"/>
      <c r="F169" s="2013" t="s">
        <v>1478</v>
      </c>
      <c r="G169" s="1332"/>
      <c r="H169" s="1332"/>
      <c r="I169" s="1332"/>
      <c r="J169" s="1332"/>
      <c r="K169" s="2009" t="s">
        <v>1475</v>
      </c>
      <c r="L169" s="1333"/>
      <c r="M169" s="819"/>
      <c r="N169" s="819"/>
      <c r="O169" s="819"/>
      <c r="P169" s="819"/>
      <c r="Q169" s="819"/>
      <c r="R169" s="819"/>
      <c r="S169" s="819"/>
      <c r="T169" s="819"/>
      <c r="U169" s="819"/>
      <c r="V169" s="819"/>
      <c r="W169" s="819"/>
      <c r="X169" s="819"/>
      <c r="Y169" s="819"/>
      <c r="Z169" s="819"/>
      <c r="AA169" s="819"/>
      <c r="AB169" s="819"/>
      <c r="AC169" s="819"/>
      <c r="AE169" s="819"/>
      <c r="AF169" s="819"/>
      <c r="AG169" s="819"/>
      <c r="AH169" s="819"/>
      <c r="AI169" s="819"/>
      <c r="AJ169" s="819"/>
      <c r="AK169" s="819"/>
      <c r="AL169" s="819"/>
      <c r="AM169" s="819"/>
      <c r="AN169" s="819"/>
      <c r="AO169" s="819"/>
      <c r="AP169" s="819"/>
      <c r="AQ169" s="819"/>
      <c r="AR169" s="819"/>
      <c r="AS169" s="819"/>
      <c r="AT169" s="819"/>
      <c r="AU169" s="819"/>
      <c r="AV169" s="819"/>
      <c r="AW169" s="819"/>
      <c r="AX169" s="819"/>
      <c r="AY169" s="819"/>
      <c r="AZ169" s="819"/>
      <c r="BA169" s="819"/>
    </row>
    <row r="170" spans="1:54" ht="12.75" customHeight="1" thickTop="1" thickBot="1">
      <c r="B170" s="819"/>
      <c r="C170" s="819"/>
      <c r="D170" s="819"/>
      <c r="E170" s="819"/>
      <c r="F170" s="2014"/>
      <c r="G170" s="819"/>
      <c r="H170" s="554"/>
      <c r="J170" s="819"/>
      <c r="K170" s="2010"/>
      <c r="L170" s="819"/>
      <c r="M170" s="819"/>
      <c r="N170" s="819"/>
      <c r="O170" s="819"/>
      <c r="P170" s="819"/>
      <c r="Q170" s="819"/>
      <c r="R170" s="819"/>
      <c r="S170" s="819"/>
      <c r="T170" s="819"/>
      <c r="U170" s="819"/>
      <c r="V170" s="819"/>
      <c r="W170" s="819"/>
      <c r="X170" s="819"/>
      <c r="Y170" s="819"/>
      <c r="Z170" s="819"/>
      <c r="AA170" s="819"/>
      <c r="AB170" s="819"/>
      <c r="AC170" s="819"/>
      <c r="AE170" s="819"/>
      <c r="AF170" s="819"/>
      <c r="AG170" s="819"/>
      <c r="AH170" s="819"/>
      <c r="AI170" s="819"/>
      <c r="AJ170" s="819"/>
      <c r="AK170" s="819"/>
      <c r="AL170" s="819"/>
      <c r="AM170" s="819"/>
      <c r="AN170" s="819"/>
      <c r="AO170" s="819"/>
      <c r="AP170" s="819"/>
      <c r="AQ170" s="819"/>
      <c r="AR170" s="819"/>
      <c r="AS170" s="819"/>
      <c r="AT170" s="819"/>
      <c r="AU170" s="819"/>
      <c r="AV170" s="819"/>
      <c r="AW170" s="819"/>
      <c r="AX170" s="819"/>
      <c r="AY170" s="819"/>
      <c r="AZ170" s="819"/>
      <c r="BA170" s="819"/>
    </row>
    <row r="171" spans="1:54" ht="12.75" customHeight="1">
      <c r="B171" s="819"/>
      <c r="C171" s="819"/>
      <c r="D171" s="819"/>
      <c r="E171" s="819"/>
      <c r="F171" s="819"/>
      <c r="G171" s="819"/>
      <c r="H171" s="554"/>
      <c r="J171" s="819"/>
      <c r="K171" s="819"/>
      <c r="L171" s="819"/>
      <c r="M171" s="819"/>
      <c r="N171" s="819"/>
      <c r="O171" s="819"/>
      <c r="P171" s="819"/>
      <c r="Q171" s="819"/>
      <c r="R171" s="819"/>
      <c r="S171" s="819"/>
      <c r="T171" s="819"/>
      <c r="U171" s="819"/>
      <c r="V171" s="819"/>
      <c r="W171" s="819"/>
      <c r="X171" s="819"/>
      <c r="Y171" s="819"/>
      <c r="Z171" s="819"/>
      <c r="AA171" s="819"/>
      <c r="AB171" s="819"/>
      <c r="AC171" s="819"/>
      <c r="AE171" s="819"/>
      <c r="AF171" s="819"/>
      <c r="AG171" s="819"/>
      <c r="AH171" s="819"/>
      <c r="AI171" s="819"/>
      <c r="AJ171" s="819"/>
      <c r="AK171" s="819"/>
      <c r="AL171" s="819"/>
      <c r="AM171" s="819"/>
      <c r="AN171" s="819"/>
      <c r="AO171" s="819"/>
      <c r="AP171" s="819"/>
      <c r="AQ171" s="819"/>
      <c r="AR171" s="819"/>
      <c r="AS171" s="819"/>
      <c r="AT171" s="819"/>
      <c r="AU171" s="819"/>
      <c r="AV171" s="819"/>
      <c r="AW171" s="819"/>
      <c r="AX171" s="819"/>
      <c r="AY171" s="819"/>
      <c r="AZ171" s="819"/>
      <c r="BA171" s="819"/>
    </row>
    <row r="172" spans="1:54" ht="13.5" customHeight="1">
      <c r="B172" s="819"/>
      <c r="C172" s="819"/>
      <c r="D172" s="819"/>
      <c r="E172" s="819"/>
      <c r="F172" s="819"/>
      <c r="G172" s="819"/>
      <c r="H172" s="567"/>
      <c r="I172" s="533"/>
      <c r="J172" s="819"/>
      <c r="K172" s="819"/>
      <c r="L172" s="819"/>
      <c r="M172" s="819"/>
      <c r="N172" s="819"/>
      <c r="O172" s="819"/>
      <c r="P172" s="819"/>
      <c r="Q172" s="819"/>
      <c r="R172" s="819"/>
      <c r="S172" s="819"/>
      <c r="T172" s="819"/>
      <c r="U172" s="819"/>
      <c r="V172" s="819"/>
      <c r="W172" s="819"/>
      <c r="X172" s="819"/>
      <c r="Y172" s="819"/>
      <c r="Z172" s="819"/>
      <c r="AA172" s="819"/>
      <c r="AB172" s="819"/>
      <c r="AC172" s="819"/>
      <c r="AE172" s="819"/>
      <c r="AF172" s="819"/>
      <c r="AG172" s="819"/>
      <c r="AH172" s="819"/>
      <c r="AI172" s="819"/>
      <c r="AJ172" s="819"/>
      <c r="AK172" s="819"/>
      <c r="AL172" s="819"/>
      <c r="AM172" s="819"/>
      <c r="AN172" s="819"/>
      <c r="AO172" s="819"/>
      <c r="AP172" s="819"/>
      <c r="AQ172" s="819"/>
      <c r="AR172" s="819"/>
      <c r="AS172" s="819"/>
      <c r="AT172" s="819"/>
      <c r="AU172" s="819"/>
      <c r="AV172" s="819"/>
      <c r="AW172" s="819"/>
      <c r="AX172" s="819"/>
      <c r="AY172" s="819"/>
      <c r="AZ172" s="819"/>
      <c r="BA172" s="819"/>
    </row>
    <row r="173" spans="1:54" ht="13.5" customHeight="1">
      <c r="B173" s="819"/>
      <c r="C173" s="819"/>
      <c r="D173" s="819"/>
      <c r="E173" s="819"/>
      <c r="F173" s="819"/>
      <c r="G173" s="819"/>
      <c r="H173" s="2012" t="s">
        <v>1480</v>
      </c>
      <c r="I173" s="2012"/>
      <c r="J173" s="819"/>
      <c r="K173" s="819"/>
      <c r="L173" s="819"/>
      <c r="M173" s="819"/>
      <c r="N173" s="819"/>
      <c r="O173" s="819"/>
      <c r="P173" s="819"/>
      <c r="Q173" s="819"/>
      <c r="R173" s="819"/>
      <c r="S173" s="819"/>
      <c r="T173" s="819"/>
      <c r="U173" s="819"/>
      <c r="V173" s="819"/>
      <c r="W173" s="819"/>
      <c r="X173" s="819"/>
      <c r="Y173" s="819"/>
      <c r="Z173" s="819"/>
      <c r="AA173" s="819"/>
      <c r="AB173" s="819"/>
      <c r="AC173" s="819"/>
      <c r="AE173" s="819"/>
      <c r="AF173" s="819"/>
      <c r="AG173" s="819"/>
      <c r="AH173" s="819"/>
      <c r="AI173" s="819"/>
      <c r="AJ173" s="819"/>
      <c r="AK173" s="819"/>
      <c r="AL173" s="819"/>
      <c r="AM173" s="819"/>
      <c r="AN173" s="819"/>
      <c r="AO173" s="819"/>
      <c r="AP173" s="819"/>
      <c r="AQ173" s="819"/>
      <c r="AR173" s="819"/>
      <c r="AS173" s="819"/>
      <c r="AT173" s="819"/>
      <c r="AU173" s="819"/>
      <c r="AV173" s="819"/>
      <c r="AW173" s="819"/>
      <c r="AX173" s="819"/>
      <c r="AY173" s="819"/>
      <c r="AZ173" s="819"/>
      <c r="BA173" s="819"/>
    </row>
    <row r="174" spans="1:54" ht="13.5" customHeight="1">
      <c r="B174" s="819"/>
      <c r="C174" s="819"/>
      <c r="D174" s="819"/>
      <c r="E174" s="819"/>
      <c r="F174" s="819"/>
      <c r="G174" s="819"/>
      <c r="H174" s="590"/>
      <c r="I174" s="590"/>
      <c r="J174" s="819"/>
      <c r="K174" s="819"/>
      <c r="L174" s="819"/>
      <c r="M174" s="819"/>
      <c r="N174" s="819"/>
      <c r="O174" s="819"/>
      <c r="P174" s="819"/>
      <c r="Q174" s="819"/>
      <c r="R174" s="819"/>
      <c r="S174" s="819"/>
      <c r="T174" s="819"/>
      <c r="U174" s="819"/>
      <c r="V174" s="819"/>
      <c r="W174" s="819"/>
      <c r="X174" s="819"/>
      <c r="Y174" s="819"/>
      <c r="Z174" s="819"/>
      <c r="AA174" s="819"/>
      <c r="AB174" s="819"/>
      <c r="AC174" s="819"/>
      <c r="AE174" s="819"/>
      <c r="AF174" s="819"/>
      <c r="AG174" s="819"/>
      <c r="AH174" s="819"/>
      <c r="AI174" s="819"/>
      <c r="AJ174" s="819"/>
      <c r="AK174" s="819"/>
      <c r="AL174" s="819"/>
      <c r="AM174" s="819"/>
      <c r="AN174" s="819"/>
      <c r="AO174" s="819"/>
      <c r="AP174" s="819"/>
      <c r="AQ174" s="819"/>
      <c r="AR174" s="819"/>
      <c r="AS174" s="819"/>
      <c r="AT174" s="819"/>
      <c r="AU174" s="819"/>
      <c r="AV174" s="819"/>
      <c r="AW174" s="819"/>
      <c r="AX174" s="819"/>
      <c r="AY174" s="819"/>
      <c r="AZ174" s="819"/>
      <c r="BA174" s="819"/>
    </row>
    <row r="175" spans="1:54" ht="13.5" customHeight="1">
      <c r="A175" s="1403"/>
      <c r="B175" s="1403"/>
      <c r="C175" s="2008" t="s">
        <v>1485</v>
      </c>
      <c r="D175" s="2008"/>
      <c r="U175" s="819"/>
      <c r="V175" s="819"/>
      <c r="W175" s="819"/>
      <c r="X175" s="819"/>
      <c r="Y175" s="819"/>
      <c r="Z175" s="819"/>
      <c r="AA175" s="819"/>
      <c r="AB175" s="819"/>
      <c r="AC175" s="819"/>
      <c r="AE175" s="819"/>
      <c r="AF175" s="819"/>
      <c r="AG175" s="819"/>
      <c r="AH175" s="819"/>
      <c r="AI175" s="819"/>
      <c r="AJ175" s="819"/>
      <c r="AK175" s="819"/>
      <c r="AL175" s="819"/>
      <c r="AM175" s="819"/>
      <c r="AN175" s="819"/>
      <c r="AO175" s="819"/>
      <c r="AP175" s="819"/>
      <c r="AQ175" s="819"/>
      <c r="AR175" s="819"/>
      <c r="AS175" s="819"/>
      <c r="AT175" s="819"/>
      <c r="AU175" s="819"/>
      <c r="AV175" s="819"/>
      <c r="AW175" s="819"/>
      <c r="AX175" s="819"/>
      <c r="AY175" s="819"/>
      <c r="AZ175" s="819"/>
      <c r="BA175" s="819"/>
    </row>
    <row r="176" spans="1:54" ht="13.5" customHeight="1">
      <c r="A176" s="819"/>
      <c r="B176" s="819"/>
      <c r="C176" s="819"/>
      <c r="D176" s="2093" t="s">
        <v>1491</v>
      </c>
      <c r="E176" s="2093"/>
      <c r="F176" s="2093"/>
      <c r="G176" s="2093"/>
      <c r="H176" s="2093"/>
      <c r="I176" s="2093"/>
      <c r="J176" s="2093"/>
      <c r="K176" s="2093"/>
      <c r="L176" s="2093"/>
      <c r="M176" s="2093"/>
      <c r="N176" s="2093"/>
      <c r="O176" s="2093"/>
      <c r="P176" s="2093"/>
      <c r="Q176" s="2093"/>
      <c r="R176" s="2093"/>
      <c r="S176" s="2093"/>
      <c r="T176" s="2093"/>
      <c r="U176" s="2093"/>
      <c r="V176" s="2093"/>
      <c r="W176" s="2093"/>
      <c r="X176" s="2093"/>
      <c r="Y176" s="2093"/>
      <c r="Z176" s="2093"/>
      <c r="AA176" s="2093"/>
      <c r="AB176" s="2093"/>
      <c r="AC176" s="819"/>
      <c r="AE176" s="819"/>
      <c r="AF176" s="819"/>
      <c r="AG176" s="819"/>
      <c r="AH176" s="819"/>
      <c r="AI176" s="819"/>
      <c r="AJ176" s="819"/>
      <c r="AK176" s="819"/>
      <c r="AL176" s="819"/>
      <c r="AM176" s="819"/>
      <c r="AN176" s="819"/>
      <c r="AO176" s="819"/>
      <c r="AP176" s="819"/>
      <c r="AQ176" s="819"/>
      <c r="AR176" s="819"/>
      <c r="AS176" s="819"/>
      <c r="AT176" s="819"/>
      <c r="AU176" s="819"/>
      <c r="AV176" s="819"/>
      <c r="AW176" s="819"/>
      <c r="AX176" s="819"/>
      <c r="AY176" s="819"/>
      <c r="AZ176" s="819"/>
      <c r="BB176" s="819"/>
    </row>
    <row r="177" spans="1:58" ht="13.5" customHeight="1">
      <c r="A177" s="819"/>
      <c r="B177" s="819"/>
      <c r="C177" s="819"/>
      <c r="D177" s="2093"/>
      <c r="E177" s="2093"/>
      <c r="F177" s="2093"/>
      <c r="G177" s="2093"/>
      <c r="H177" s="2093"/>
      <c r="I177" s="2093"/>
      <c r="J177" s="2093"/>
      <c r="K177" s="2093"/>
      <c r="L177" s="2093"/>
      <c r="M177" s="2093"/>
      <c r="N177" s="2093"/>
      <c r="O177" s="2093"/>
      <c r="P177" s="2093"/>
      <c r="Q177" s="2093"/>
      <c r="R177" s="2093"/>
      <c r="S177" s="2093"/>
      <c r="T177" s="2093"/>
      <c r="U177" s="2093"/>
      <c r="V177" s="2093"/>
      <c r="W177" s="2093"/>
      <c r="X177" s="2093"/>
      <c r="Y177" s="2093"/>
      <c r="Z177" s="2093"/>
      <c r="AA177" s="2093"/>
      <c r="AB177" s="2093"/>
      <c r="AC177" s="819"/>
      <c r="AE177" s="819"/>
      <c r="AF177" s="819"/>
      <c r="AG177" s="819"/>
      <c r="AH177" s="819"/>
      <c r="AI177" s="819"/>
      <c r="AJ177" s="819"/>
      <c r="AK177" s="819"/>
      <c r="AL177" s="819"/>
      <c r="AM177" s="819"/>
      <c r="AN177" s="819"/>
      <c r="AO177" s="819"/>
      <c r="AP177" s="819"/>
      <c r="AQ177" s="819"/>
      <c r="AR177" s="819"/>
      <c r="AS177" s="819"/>
      <c r="AT177" s="819"/>
      <c r="AU177" s="819"/>
      <c r="AV177" s="819"/>
      <c r="AW177" s="819"/>
      <c r="AX177" s="819"/>
      <c r="AY177" s="819"/>
      <c r="AZ177" s="819"/>
      <c r="BA177" s="819"/>
      <c r="BC177" s="819"/>
      <c r="BD177" s="819"/>
      <c r="BE177" s="819"/>
      <c r="BF177" s="819"/>
    </row>
    <row r="178" spans="1:58" ht="13.5" customHeight="1">
      <c r="A178" s="819"/>
      <c r="B178" s="819"/>
      <c r="C178" s="819"/>
      <c r="D178" s="2093"/>
      <c r="E178" s="2093"/>
      <c r="F178" s="2093"/>
      <c r="G178" s="2093"/>
      <c r="H178" s="2093"/>
      <c r="I178" s="2093"/>
      <c r="J178" s="2093"/>
      <c r="K178" s="2093"/>
      <c r="L178" s="2093"/>
      <c r="M178" s="2093"/>
      <c r="N178" s="2093"/>
      <c r="O178" s="2093"/>
      <c r="P178" s="2093"/>
      <c r="Q178" s="2093"/>
      <c r="R178" s="2093"/>
      <c r="S178" s="2093"/>
      <c r="T178" s="2093"/>
      <c r="U178" s="2093"/>
      <c r="V178" s="2093"/>
      <c r="W178" s="2093"/>
      <c r="X178" s="2093"/>
      <c r="Y178" s="2093"/>
      <c r="Z178" s="2093"/>
      <c r="AA178" s="2093"/>
      <c r="AB178" s="2093"/>
      <c r="AC178" s="819"/>
      <c r="AE178" s="819"/>
      <c r="AF178" s="819"/>
      <c r="AG178" s="819"/>
      <c r="AH178" s="819"/>
      <c r="AI178" s="819"/>
      <c r="AJ178" s="819"/>
      <c r="AK178" s="819"/>
      <c r="AL178" s="819"/>
      <c r="AM178" s="819"/>
      <c r="AN178" s="819"/>
      <c r="AO178" s="819"/>
      <c r="AP178" s="819"/>
      <c r="AQ178" s="819"/>
      <c r="AR178" s="819"/>
      <c r="AS178" s="819"/>
      <c r="AT178" s="819"/>
      <c r="AU178" s="819"/>
      <c r="AV178" s="819"/>
      <c r="AW178" s="819"/>
      <c r="AX178" s="819"/>
      <c r="AY178" s="819"/>
      <c r="AZ178" s="819"/>
      <c r="BA178" s="819"/>
      <c r="BC178" s="819"/>
      <c r="BD178" s="819"/>
      <c r="BE178" s="819"/>
      <c r="BF178" s="819"/>
    </row>
    <row r="179" spans="1:58" ht="13.5" customHeight="1">
      <c r="A179" s="819"/>
      <c r="B179" s="819"/>
      <c r="C179" s="819"/>
      <c r="D179" s="2093"/>
      <c r="E179" s="2093"/>
      <c r="F179" s="2093"/>
      <c r="G179" s="2093"/>
      <c r="H179" s="2093"/>
      <c r="I179" s="2093"/>
      <c r="J179" s="2093"/>
      <c r="K179" s="2093"/>
      <c r="L179" s="2093"/>
      <c r="M179" s="2093"/>
      <c r="N179" s="2093"/>
      <c r="O179" s="2093"/>
      <c r="P179" s="2093"/>
      <c r="Q179" s="2093"/>
      <c r="R179" s="2093"/>
      <c r="S179" s="2093"/>
      <c r="T179" s="2093"/>
      <c r="U179" s="2093"/>
      <c r="V179" s="2093"/>
      <c r="W179" s="2093"/>
      <c r="X179" s="2093"/>
      <c r="Y179" s="2093"/>
      <c r="Z179" s="2093"/>
      <c r="AA179" s="2093"/>
      <c r="AB179" s="2093"/>
      <c r="AC179" s="819"/>
      <c r="AE179" s="819"/>
      <c r="AF179" s="819"/>
      <c r="AG179" s="819"/>
      <c r="AH179" s="819"/>
      <c r="AI179" s="819"/>
      <c r="AJ179" s="819"/>
      <c r="AK179" s="819"/>
      <c r="AL179" s="819"/>
      <c r="AM179" s="819"/>
      <c r="AN179" s="819"/>
      <c r="AO179" s="819"/>
      <c r="AP179" s="819"/>
      <c r="AQ179" s="819"/>
      <c r="AR179" s="819"/>
      <c r="AS179" s="819"/>
      <c r="AT179" s="819"/>
      <c r="AU179" s="819"/>
      <c r="AV179" s="819"/>
      <c r="AW179" s="819"/>
      <c r="AX179" s="819"/>
      <c r="AY179" s="819"/>
      <c r="AZ179" s="819"/>
      <c r="BA179" s="819"/>
      <c r="BC179" s="819"/>
      <c r="BD179" s="819"/>
      <c r="BE179" s="819"/>
      <c r="BF179" s="819"/>
    </row>
    <row r="180" spans="1:58" ht="13.5" customHeight="1">
      <c r="A180" s="819"/>
      <c r="B180" s="819"/>
      <c r="C180" s="819"/>
      <c r="D180" s="2093"/>
      <c r="E180" s="2093"/>
      <c r="F180" s="2093"/>
      <c r="G180" s="2093"/>
      <c r="H180" s="2093"/>
      <c r="I180" s="2093"/>
      <c r="J180" s="2093"/>
      <c r="K180" s="2093"/>
      <c r="L180" s="2093"/>
      <c r="M180" s="2093"/>
      <c r="N180" s="2093"/>
      <c r="O180" s="2093"/>
      <c r="P180" s="2093"/>
      <c r="Q180" s="2093"/>
      <c r="R180" s="2093"/>
      <c r="S180" s="2093"/>
      <c r="T180" s="2093"/>
      <c r="U180" s="2093"/>
      <c r="V180" s="2093"/>
      <c r="W180" s="2093"/>
      <c r="X180" s="2093"/>
      <c r="Y180" s="2093"/>
      <c r="Z180" s="2093"/>
      <c r="AA180" s="2093"/>
      <c r="AB180" s="2093"/>
      <c r="AC180" s="819"/>
      <c r="AE180" s="819"/>
      <c r="AF180" s="819"/>
      <c r="AG180" s="819"/>
      <c r="AH180" s="819"/>
      <c r="AI180" s="819"/>
      <c r="AJ180" s="819"/>
      <c r="AK180" s="819"/>
      <c r="AL180" s="819"/>
      <c r="AM180" s="819"/>
      <c r="AN180" s="819"/>
      <c r="AO180" s="819"/>
      <c r="AP180" s="819"/>
      <c r="AQ180" s="819"/>
      <c r="AR180" s="819"/>
      <c r="AS180" s="819"/>
      <c r="AT180" s="819"/>
      <c r="AU180" s="819"/>
      <c r="AV180" s="819"/>
      <c r="AW180" s="819"/>
      <c r="AX180" s="819"/>
      <c r="AY180" s="819"/>
      <c r="AZ180" s="819"/>
      <c r="BA180" s="819"/>
      <c r="BC180" s="819"/>
      <c r="BD180" s="819"/>
      <c r="BE180" s="819"/>
      <c r="BF180" s="819"/>
    </row>
    <row r="181" spans="1:58" ht="13.5" customHeight="1" thickBot="1">
      <c r="B181" s="1323"/>
      <c r="C181" s="1323"/>
      <c r="D181" s="1331"/>
      <c r="E181" s="1331"/>
      <c r="F181" s="1331"/>
      <c r="G181" s="1331"/>
      <c r="H181" s="1331"/>
      <c r="I181" s="1331"/>
      <c r="J181" s="1331"/>
      <c r="K181" s="1331"/>
      <c r="L181" s="1331"/>
      <c r="M181" s="1331"/>
      <c r="N181" s="1331"/>
      <c r="O181" s="1331"/>
      <c r="P181" s="1331"/>
      <c r="Q181" s="1331"/>
      <c r="R181" s="1331"/>
      <c r="S181" s="1331"/>
      <c r="T181" s="1331"/>
      <c r="U181" s="1331"/>
      <c r="V181" s="1331"/>
      <c r="W181" s="1331"/>
      <c r="X181" s="1331"/>
      <c r="Y181" s="1331"/>
      <c r="Z181" s="1331"/>
      <c r="AA181" s="1331"/>
      <c r="AB181" s="1331"/>
      <c r="AC181" s="819"/>
      <c r="AE181" s="819"/>
      <c r="AF181" s="819"/>
      <c r="AG181" s="819"/>
      <c r="AH181" s="819"/>
      <c r="AI181" s="819"/>
      <c r="AJ181" s="819"/>
      <c r="AK181" s="819"/>
      <c r="AL181" s="819"/>
      <c r="AM181" s="819"/>
      <c r="AN181" s="819"/>
      <c r="AO181" s="819"/>
      <c r="AP181" s="819"/>
      <c r="AQ181" s="819"/>
      <c r="AR181" s="819"/>
      <c r="AS181" s="819"/>
      <c r="AT181" s="819"/>
      <c r="AU181" s="819"/>
      <c r="AV181" s="819"/>
      <c r="AW181" s="819"/>
      <c r="AX181" s="819"/>
      <c r="AY181" s="819"/>
      <c r="AZ181" s="819"/>
      <c r="BA181" s="819"/>
      <c r="BC181" s="819"/>
      <c r="BD181" s="819"/>
      <c r="BE181" s="819"/>
      <c r="BF181" s="819"/>
    </row>
    <row r="182" spans="1:58" ht="13.5" customHeight="1" thickTop="1">
      <c r="B182" s="819"/>
      <c r="C182" s="819"/>
      <c r="D182" s="1338"/>
      <c r="E182" s="1338"/>
      <c r="F182" s="1338"/>
      <c r="G182" s="1338"/>
      <c r="H182" s="1338"/>
      <c r="I182" s="1338"/>
      <c r="J182" s="1338"/>
      <c r="K182" s="1338"/>
      <c r="L182" s="1338"/>
      <c r="M182" s="1338"/>
      <c r="N182" s="1338"/>
      <c r="O182" s="1338"/>
      <c r="P182" s="1338"/>
      <c r="Q182" s="1338"/>
      <c r="R182" s="1338"/>
      <c r="S182" s="1338"/>
      <c r="T182" s="1338"/>
      <c r="U182" s="1338"/>
      <c r="V182" s="1338"/>
      <c r="W182" s="1338"/>
      <c r="X182" s="1338"/>
      <c r="Y182" s="1338"/>
      <c r="Z182" s="1338"/>
      <c r="AA182" s="1338"/>
      <c r="AB182" s="1338"/>
      <c r="AC182" s="819"/>
      <c r="AE182" s="819"/>
      <c r="AF182" s="819"/>
      <c r="AG182" s="819"/>
      <c r="AH182" s="819"/>
      <c r="AI182" s="819"/>
      <c r="AJ182" s="819"/>
      <c r="AK182" s="819"/>
      <c r="AL182" s="819"/>
      <c r="AM182" s="819"/>
      <c r="AN182" s="819"/>
      <c r="AO182" s="819"/>
      <c r="AP182" s="819"/>
      <c r="AQ182" s="819"/>
      <c r="AR182" s="819"/>
      <c r="AS182" s="819"/>
      <c r="AT182" s="819"/>
      <c r="AU182" s="819"/>
      <c r="AV182" s="819"/>
      <c r="AW182" s="819"/>
      <c r="AX182" s="819"/>
      <c r="AY182" s="819"/>
      <c r="AZ182" s="819"/>
      <c r="BA182" s="819"/>
      <c r="BC182" s="819"/>
      <c r="BD182" s="819"/>
      <c r="BE182" s="819"/>
      <c r="BF182" s="819"/>
    </row>
    <row r="183" spans="1:58" ht="13.5" customHeight="1">
      <c r="A183" s="2021" t="s">
        <v>1492</v>
      </c>
      <c r="B183" s="2021"/>
      <c r="C183" s="2021"/>
      <c r="D183" s="2021"/>
      <c r="E183" s="2021"/>
      <c r="F183" s="2021"/>
      <c r="G183" s="2021"/>
      <c r="H183" s="2021"/>
      <c r="I183" s="2021"/>
      <c r="J183" s="2021"/>
      <c r="K183" s="2021"/>
      <c r="L183" s="2021"/>
      <c r="M183" s="2021"/>
      <c r="N183" s="2021"/>
      <c r="O183" s="2021"/>
      <c r="P183" s="2021"/>
      <c r="Q183" s="2021"/>
      <c r="R183" s="2021"/>
      <c r="S183" s="2021"/>
      <c r="T183" s="2021"/>
      <c r="U183" s="2021"/>
      <c r="V183" s="2021"/>
      <c r="W183" s="2021"/>
      <c r="X183" s="1338"/>
      <c r="Y183" s="1338"/>
      <c r="Z183" s="1338"/>
      <c r="AA183" s="1338"/>
      <c r="AB183" s="1338"/>
      <c r="AC183" s="819"/>
      <c r="AE183" s="819"/>
      <c r="AF183" s="819"/>
      <c r="AG183" s="819"/>
      <c r="AH183" s="819"/>
      <c r="AI183" s="819"/>
      <c r="AJ183" s="819"/>
      <c r="AK183" s="819"/>
      <c r="AL183" s="819"/>
      <c r="AM183" s="819"/>
      <c r="AN183" s="819"/>
      <c r="AO183" s="819"/>
      <c r="AP183" s="819"/>
      <c r="AQ183" s="819"/>
      <c r="AR183" s="819"/>
      <c r="AS183" s="819"/>
      <c r="AT183" s="819"/>
      <c r="AU183" s="819"/>
      <c r="AV183" s="819"/>
      <c r="AW183" s="819"/>
      <c r="AX183" s="819"/>
      <c r="AY183" s="819"/>
      <c r="AZ183" s="819"/>
      <c r="BA183" s="819"/>
      <c r="BC183" s="819"/>
      <c r="BD183" s="819"/>
      <c r="BE183" s="819"/>
      <c r="BF183" s="819"/>
    </row>
    <row r="184" spans="1:58" ht="13.5" customHeight="1">
      <c r="B184" s="819"/>
      <c r="C184" s="819"/>
      <c r="D184" s="1338"/>
      <c r="E184" s="1338"/>
      <c r="F184" s="1338"/>
      <c r="G184" s="1338"/>
      <c r="H184" s="1338"/>
      <c r="I184" s="1338"/>
      <c r="J184" s="1338"/>
      <c r="K184" s="1338"/>
      <c r="L184" s="1338"/>
      <c r="M184" s="1338"/>
      <c r="N184" s="1338"/>
      <c r="O184" s="1338"/>
      <c r="P184" s="1338"/>
      <c r="Q184" s="1338"/>
      <c r="R184" s="1338"/>
      <c r="S184" s="1338"/>
      <c r="T184" s="1338"/>
      <c r="U184" s="1338"/>
      <c r="V184" s="1338"/>
      <c r="W184" s="1338"/>
      <c r="X184" s="1338"/>
      <c r="Y184" s="1338"/>
      <c r="Z184" s="1338"/>
      <c r="AA184" s="1338"/>
      <c r="AB184" s="1338"/>
      <c r="AC184" s="819"/>
      <c r="AE184" s="819"/>
      <c r="AF184" s="819"/>
      <c r="AG184" s="819"/>
      <c r="AH184" s="819"/>
      <c r="AI184" s="819"/>
      <c r="AJ184" s="819"/>
      <c r="AK184" s="819"/>
      <c r="AL184" s="819"/>
      <c r="AM184" s="819"/>
      <c r="AN184" s="819"/>
      <c r="AO184" s="819"/>
      <c r="AP184" s="819"/>
      <c r="AQ184" s="819"/>
      <c r="AR184" s="819"/>
      <c r="AS184" s="819"/>
      <c r="AT184" s="819"/>
      <c r="AU184" s="819"/>
      <c r="AV184" s="819"/>
      <c r="AW184" s="819"/>
      <c r="AX184" s="819"/>
      <c r="AY184" s="819"/>
      <c r="AZ184" s="819"/>
      <c r="BA184" s="819"/>
      <c r="BC184" s="819"/>
      <c r="BD184" s="819"/>
      <c r="BE184" s="819"/>
      <c r="BF184" s="819"/>
    </row>
    <row r="185" spans="1:58" ht="13.5" customHeight="1">
      <c r="B185" s="819"/>
      <c r="C185" s="819"/>
      <c r="D185" s="819"/>
      <c r="E185" s="819"/>
      <c r="F185" s="819"/>
      <c r="G185" s="819"/>
      <c r="H185" s="819"/>
      <c r="I185" s="819"/>
      <c r="J185" s="819"/>
      <c r="K185" s="819"/>
      <c r="L185" s="572"/>
      <c r="M185" s="819"/>
      <c r="N185" s="819"/>
      <c r="O185" s="819"/>
      <c r="P185" s="819"/>
      <c r="Q185" s="819"/>
      <c r="R185" s="819"/>
      <c r="S185" s="819"/>
      <c r="T185" s="819"/>
      <c r="U185" s="819"/>
      <c r="V185" s="819"/>
      <c r="W185" s="819"/>
      <c r="X185" s="819"/>
      <c r="Y185" s="819"/>
      <c r="Z185" s="819"/>
      <c r="AA185" s="819"/>
      <c r="AB185" s="819"/>
      <c r="AC185" s="819"/>
      <c r="AE185" s="819"/>
      <c r="AF185" s="819"/>
      <c r="AG185" s="819"/>
      <c r="AH185" s="819"/>
      <c r="AI185" s="819"/>
      <c r="AJ185" s="819"/>
      <c r="AK185" s="819"/>
      <c r="AL185" s="819"/>
      <c r="AM185" s="819"/>
      <c r="AN185" s="819"/>
      <c r="AO185" s="819"/>
      <c r="AP185" s="819"/>
      <c r="AQ185" s="819"/>
      <c r="AR185" s="819"/>
      <c r="AS185" s="819"/>
      <c r="AT185" s="819"/>
      <c r="AU185" s="819"/>
      <c r="AV185" s="819"/>
      <c r="AW185" s="819"/>
      <c r="AX185" s="819"/>
      <c r="AY185" s="819"/>
      <c r="AZ185" s="819"/>
      <c r="BA185" s="819"/>
      <c r="BC185" s="819"/>
      <c r="BD185" s="819"/>
      <c r="BE185" s="819"/>
      <c r="BF185" s="819"/>
    </row>
    <row r="186" spans="1:58" ht="13.5" customHeight="1">
      <c r="B186" s="819"/>
      <c r="C186" s="819"/>
      <c r="D186" s="819"/>
      <c r="E186" s="819"/>
      <c r="F186" s="819"/>
      <c r="G186" s="819"/>
      <c r="H186" s="819"/>
      <c r="I186" s="819"/>
      <c r="J186" s="819"/>
      <c r="K186" s="819"/>
      <c r="L186" s="2011" t="s">
        <v>349</v>
      </c>
      <c r="M186" s="2011"/>
      <c r="N186" s="2095" t="s">
        <v>1493</v>
      </c>
      <c r="O186" s="2095"/>
      <c r="P186" s="2095"/>
      <c r="Q186" s="819"/>
      <c r="R186" s="819"/>
      <c r="S186" s="819"/>
      <c r="T186" s="819"/>
      <c r="U186" s="819"/>
      <c r="V186" s="819"/>
      <c r="W186" s="819"/>
      <c r="X186" s="819"/>
      <c r="Y186" s="819"/>
      <c r="Z186" s="819"/>
      <c r="AA186" s="819"/>
      <c r="AB186" s="819"/>
      <c r="AC186" s="819"/>
      <c r="AE186" s="819"/>
      <c r="AF186" s="819"/>
      <c r="AG186" s="819"/>
      <c r="AH186" s="819"/>
      <c r="AI186" s="819"/>
      <c r="AJ186" s="819"/>
      <c r="AK186" s="819"/>
      <c r="AL186" s="819"/>
      <c r="AM186" s="819"/>
      <c r="AN186" s="819"/>
      <c r="AO186" s="819"/>
      <c r="AP186" s="819"/>
      <c r="AQ186" s="819"/>
      <c r="AR186" s="819"/>
      <c r="AS186" s="819"/>
      <c r="AT186" s="819"/>
      <c r="AU186" s="819"/>
      <c r="AV186" s="819"/>
      <c r="AW186" s="819"/>
      <c r="AX186" s="819"/>
      <c r="AY186" s="819"/>
      <c r="AZ186" s="819"/>
      <c r="BA186" s="819"/>
      <c r="BC186" s="819"/>
      <c r="BD186" s="819"/>
      <c r="BE186" s="819"/>
      <c r="BF186" s="819"/>
    </row>
    <row r="187" spans="1:58" ht="13.5" customHeight="1">
      <c r="B187" s="819"/>
      <c r="C187" s="819"/>
      <c r="D187" s="819"/>
      <c r="E187" s="819"/>
      <c r="F187" s="819"/>
      <c r="G187" s="819"/>
      <c r="H187" s="819"/>
      <c r="I187" s="819"/>
      <c r="J187" s="819"/>
      <c r="K187" s="819"/>
      <c r="L187" s="2011"/>
      <c r="M187" s="2011"/>
      <c r="N187" s="2095"/>
      <c r="O187" s="2095"/>
      <c r="P187" s="2095"/>
      <c r="Q187" s="819"/>
      <c r="R187" s="819"/>
      <c r="S187" s="819"/>
      <c r="T187" s="819"/>
      <c r="U187" s="819"/>
      <c r="V187" s="819"/>
      <c r="W187" s="819"/>
      <c r="X187" s="819"/>
      <c r="Y187" s="819"/>
      <c r="Z187" s="819"/>
      <c r="AA187" s="819"/>
      <c r="AB187" s="819"/>
      <c r="AC187" s="819"/>
      <c r="AE187" s="819"/>
      <c r="AF187" s="819"/>
      <c r="AG187" s="819"/>
      <c r="AH187" s="819"/>
      <c r="AI187" s="819"/>
      <c r="AJ187" s="819"/>
      <c r="AK187" s="819"/>
      <c r="AL187" s="819"/>
      <c r="AM187" s="819"/>
      <c r="AN187" s="819"/>
      <c r="AO187" s="819"/>
      <c r="AP187" s="819"/>
      <c r="AQ187" s="819"/>
      <c r="AR187" s="819"/>
      <c r="AS187" s="819"/>
      <c r="AT187" s="819"/>
      <c r="AU187" s="819"/>
      <c r="AV187" s="819"/>
      <c r="AW187" s="819"/>
      <c r="AX187" s="819"/>
      <c r="AY187" s="819"/>
      <c r="AZ187" s="819"/>
      <c r="BA187" s="819"/>
      <c r="BC187" s="819"/>
      <c r="BD187" s="819"/>
      <c r="BE187" s="819"/>
      <c r="BF187" s="819"/>
    </row>
    <row r="188" spans="1:58" ht="13.5" customHeight="1">
      <c r="A188" s="1403"/>
      <c r="B188" s="1403"/>
      <c r="C188" s="1403"/>
      <c r="D188" s="1403"/>
      <c r="E188" s="1403"/>
      <c r="F188" s="1403"/>
      <c r="G188" s="1403"/>
      <c r="H188" s="1403"/>
      <c r="L188" s="567"/>
      <c r="M188" s="533"/>
      <c r="S188" s="819"/>
      <c r="Z188" s="819"/>
      <c r="AA188" s="819"/>
      <c r="AB188" s="819"/>
      <c r="AC188" s="819"/>
      <c r="AE188" s="819"/>
      <c r="AF188" s="819"/>
      <c r="AG188" s="819"/>
      <c r="AH188" s="819"/>
      <c r="AI188" s="819"/>
      <c r="AJ188" s="819"/>
      <c r="AK188" s="819"/>
      <c r="AL188" s="819"/>
      <c r="AM188" s="819"/>
      <c r="AN188" s="819"/>
      <c r="AO188" s="819"/>
      <c r="AP188" s="819"/>
      <c r="AQ188" s="819"/>
      <c r="AR188" s="819"/>
      <c r="AS188" s="819"/>
      <c r="AT188" s="819"/>
      <c r="AU188" s="819"/>
      <c r="AV188" s="819"/>
      <c r="AW188" s="819"/>
      <c r="AX188" s="819"/>
      <c r="AY188" s="819"/>
      <c r="AZ188" s="819"/>
      <c r="BA188" s="819"/>
      <c r="BC188" s="819"/>
      <c r="BD188" s="819"/>
      <c r="BE188" s="819"/>
      <c r="BF188" s="819"/>
    </row>
    <row r="189" spans="1:58" ht="21" customHeight="1">
      <c r="A189" s="1403"/>
      <c r="B189" s="1403"/>
      <c r="C189" s="1403"/>
      <c r="D189" s="1403"/>
      <c r="E189" s="1403"/>
      <c r="F189" s="1403"/>
      <c r="G189" s="1403"/>
      <c r="H189" s="1403"/>
      <c r="L189" s="819"/>
      <c r="M189" s="590"/>
      <c r="S189" s="819"/>
      <c r="Z189" s="819"/>
      <c r="AA189" s="819"/>
      <c r="AB189" s="819"/>
      <c r="AC189" s="819"/>
      <c r="AD189" s="609"/>
      <c r="AE189" s="819"/>
      <c r="AF189" s="819"/>
      <c r="AG189" s="819"/>
      <c r="AH189" s="819"/>
      <c r="AI189" s="819"/>
      <c r="AJ189" s="819"/>
      <c r="AK189" s="819"/>
      <c r="AL189" s="819"/>
      <c r="AM189" s="819"/>
      <c r="AN189" s="819"/>
      <c r="AO189" s="819"/>
      <c r="AP189" s="819"/>
      <c r="AQ189" s="819"/>
      <c r="AR189" s="819"/>
      <c r="AS189" s="819"/>
      <c r="AT189" s="819"/>
      <c r="AU189" s="819"/>
      <c r="AV189" s="819"/>
      <c r="AW189" s="819"/>
      <c r="AX189" s="819"/>
      <c r="AY189" s="819"/>
      <c r="AZ189" s="819"/>
      <c r="BA189" s="819"/>
      <c r="BB189" s="819"/>
      <c r="BC189" s="819"/>
      <c r="BD189" s="819"/>
      <c r="BE189" s="819"/>
    </row>
    <row r="190" spans="1:58" ht="13.5" customHeight="1">
      <c r="A190" s="1403"/>
      <c r="B190" s="1403"/>
      <c r="C190" s="1403"/>
      <c r="D190" s="1403"/>
      <c r="E190" s="1403"/>
      <c r="F190" s="1403"/>
      <c r="G190" s="1403"/>
      <c r="H190" s="1403"/>
      <c r="Q190" s="819"/>
      <c r="S190" s="819"/>
      <c r="Z190" s="819"/>
      <c r="AA190" s="819"/>
      <c r="AB190" s="819"/>
      <c r="AC190" s="819"/>
      <c r="AD190" s="609"/>
      <c r="AE190" s="819"/>
      <c r="AF190" s="819"/>
      <c r="AG190" s="819"/>
      <c r="AH190" s="819"/>
      <c r="AI190" s="819"/>
      <c r="AJ190" s="819"/>
      <c r="AK190" s="819"/>
      <c r="AL190" s="819"/>
      <c r="AM190" s="819"/>
      <c r="AN190" s="819"/>
      <c r="AO190" s="819"/>
      <c r="AP190" s="819"/>
      <c r="AQ190" s="819"/>
      <c r="AR190" s="819"/>
      <c r="AS190" s="819"/>
      <c r="AT190" s="819"/>
      <c r="AU190" s="819"/>
      <c r="AV190" s="819"/>
      <c r="AW190" s="819"/>
      <c r="AX190" s="819"/>
      <c r="AY190" s="819"/>
      <c r="AZ190" s="819"/>
      <c r="BA190" s="819"/>
      <c r="BB190" s="819"/>
      <c r="BC190" s="819"/>
      <c r="BD190" s="819"/>
      <c r="BE190" s="819"/>
    </row>
    <row r="191" spans="1:58" ht="13.5" customHeight="1">
      <c r="A191" s="1403"/>
      <c r="B191" s="1403"/>
      <c r="C191" s="1403"/>
      <c r="D191" s="1403"/>
      <c r="E191" s="1403"/>
      <c r="F191" s="1403"/>
      <c r="G191" s="1403"/>
      <c r="H191" s="1403"/>
      <c r="L191" s="554"/>
      <c r="S191" s="819"/>
      <c r="Z191" s="819"/>
      <c r="AA191" s="819"/>
      <c r="AB191" s="819"/>
      <c r="AC191" s="819"/>
      <c r="AD191" s="609"/>
      <c r="AE191" s="819"/>
      <c r="AF191" s="819"/>
      <c r="AG191" s="819"/>
      <c r="AH191" s="819"/>
      <c r="AI191" s="819"/>
      <c r="AJ191" s="819"/>
      <c r="AK191" s="819"/>
      <c r="AL191" s="819"/>
      <c r="AM191" s="819"/>
      <c r="AN191" s="819"/>
      <c r="AO191" s="819"/>
      <c r="AP191" s="819"/>
      <c r="AQ191" s="819"/>
      <c r="AR191" s="819"/>
      <c r="AS191" s="819"/>
      <c r="AT191" s="819"/>
      <c r="AU191" s="819"/>
      <c r="AV191" s="819"/>
      <c r="AW191" s="819"/>
      <c r="AX191" s="819"/>
      <c r="AY191" s="819"/>
      <c r="AZ191" s="819"/>
      <c r="BA191" s="819"/>
      <c r="BB191" s="819"/>
      <c r="BC191" s="819"/>
      <c r="BD191" s="819"/>
      <c r="BE191" s="819"/>
    </row>
    <row r="192" spans="1:58" ht="13.5" customHeight="1" thickBot="1">
      <c r="A192" s="1403"/>
      <c r="B192" s="1403"/>
      <c r="C192" s="1403"/>
      <c r="D192" s="1403"/>
      <c r="E192" s="1403"/>
      <c r="F192" s="1403"/>
      <c r="G192" s="1403"/>
      <c r="H192" s="1403"/>
      <c r="I192" s="789" t="s">
        <v>1494</v>
      </c>
      <c r="J192" s="789"/>
      <c r="K192" s="789"/>
      <c r="L192" s="554"/>
      <c r="S192" s="819"/>
      <c r="Z192" s="819"/>
      <c r="AA192" s="819"/>
      <c r="AB192" s="819"/>
      <c r="AC192" s="819"/>
      <c r="AD192" s="609"/>
      <c r="AE192" s="819"/>
      <c r="AF192" s="819"/>
      <c r="AG192" s="819"/>
      <c r="AH192" s="819"/>
      <c r="AI192" s="819"/>
      <c r="AJ192" s="819"/>
      <c r="AK192" s="819"/>
      <c r="AL192" s="819"/>
      <c r="AM192" s="819"/>
      <c r="AN192" s="819"/>
      <c r="AO192" s="819"/>
      <c r="AP192" s="819"/>
      <c r="AQ192" s="819"/>
      <c r="AR192" s="819"/>
      <c r="AS192" s="819"/>
      <c r="AT192" s="819"/>
      <c r="AU192" s="819"/>
      <c r="AV192" s="819"/>
      <c r="AW192" s="819"/>
      <c r="AX192" s="819"/>
      <c r="AY192" s="819"/>
      <c r="AZ192" s="819"/>
      <c r="BA192" s="819"/>
      <c r="BB192" s="819"/>
      <c r="BC192" s="819"/>
      <c r="BD192" s="819"/>
      <c r="BE192" s="819"/>
    </row>
    <row r="193" spans="1:59" ht="13.5" customHeight="1" thickTop="1" thickBot="1">
      <c r="A193" s="1403"/>
      <c r="B193" s="1403"/>
      <c r="C193" s="1403"/>
      <c r="D193" s="1403"/>
      <c r="E193" s="1403"/>
      <c r="F193" s="1403"/>
      <c r="G193" s="819"/>
      <c r="H193" s="819"/>
      <c r="I193" s="1408"/>
      <c r="J193" s="2015" t="s">
        <v>69</v>
      </c>
      <c r="K193" s="549"/>
      <c r="L193" s="571"/>
      <c r="M193" s="551"/>
      <c r="N193" s="1408"/>
      <c r="O193" s="2013" t="s">
        <v>1473</v>
      </c>
      <c r="P193" s="1408"/>
      <c r="S193" s="819"/>
      <c r="Z193" s="819"/>
      <c r="AA193" s="819"/>
      <c r="AB193" s="819"/>
      <c r="AC193" s="819"/>
      <c r="AD193" s="609"/>
      <c r="AE193" s="819"/>
      <c r="AF193" s="819"/>
      <c r="AG193" s="819"/>
      <c r="AH193" s="819"/>
      <c r="AI193" s="819"/>
      <c r="AJ193" s="819"/>
      <c r="AK193" s="819"/>
      <c r="AL193" s="819"/>
      <c r="AM193" s="819"/>
      <c r="AN193" s="819"/>
      <c r="AO193" s="819"/>
      <c r="AP193" s="819"/>
      <c r="AQ193" s="819"/>
      <c r="AR193" s="819"/>
      <c r="AS193" s="819"/>
      <c r="AT193" s="819"/>
      <c r="AU193" s="819"/>
      <c r="AV193" s="819"/>
      <c r="AW193" s="819"/>
      <c r="AX193" s="819"/>
      <c r="AY193" s="819"/>
      <c r="AZ193" s="819"/>
      <c r="BA193" s="819"/>
      <c r="BB193" s="819"/>
      <c r="BC193" s="819"/>
      <c r="BD193" s="819"/>
      <c r="BE193" s="819"/>
      <c r="BG193" s="819"/>
    </row>
    <row r="194" spans="1:59" ht="12.75" customHeight="1" thickTop="1" thickBot="1">
      <c r="A194" s="1403"/>
      <c r="B194" s="1403"/>
      <c r="C194" s="1403"/>
      <c r="D194" s="1403"/>
      <c r="E194" s="1403"/>
      <c r="F194" s="1403"/>
      <c r="G194" s="819"/>
      <c r="H194" s="819"/>
      <c r="I194" s="548"/>
      <c r="J194" s="2016"/>
      <c r="O194" s="2014"/>
      <c r="P194" s="553"/>
      <c r="S194" s="819"/>
      <c r="Z194" s="819"/>
      <c r="AA194" s="819"/>
      <c r="AB194" s="819"/>
      <c r="AC194" s="819"/>
      <c r="AE194" s="819"/>
      <c r="AF194" s="819"/>
      <c r="AG194" s="819"/>
      <c r="AH194" s="819"/>
      <c r="AI194" s="819"/>
      <c r="AJ194" s="819"/>
      <c r="AK194" s="819"/>
      <c r="AL194" s="819"/>
      <c r="AM194" s="819"/>
      <c r="AN194" s="819"/>
      <c r="AO194" s="819"/>
      <c r="AP194" s="819"/>
      <c r="AQ194" s="819"/>
      <c r="AR194" s="819"/>
      <c r="AS194" s="819"/>
      <c r="AT194" s="819"/>
      <c r="AU194" s="819"/>
      <c r="AV194" s="819"/>
      <c r="AW194" s="819"/>
      <c r="AX194" s="819"/>
      <c r="AY194" s="819"/>
      <c r="AZ194" s="819"/>
      <c r="BA194" s="819"/>
      <c r="BB194" s="819"/>
      <c r="BC194" s="819"/>
      <c r="BD194" s="819"/>
      <c r="BE194" s="819"/>
      <c r="BG194" s="819"/>
    </row>
    <row r="195" spans="1:59" ht="12.75" customHeight="1" thickTop="1" thickBot="1">
      <c r="A195" s="1403"/>
      <c r="B195" s="1403"/>
      <c r="C195" s="1403"/>
      <c r="D195" s="1403"/>
      <c r="E195" s="1403"/>
      <c r="F195" s="1403"/>
      <c r="G195" s="2020" t="s">
        <v>334</v>
      </c>
      <c r="H195" s="2024"/>
      <c r="I195" s="1403"/>
      <c r="J195" s="1403"/>
      <c r="P195" s="554"/>
      <c r="Q195" s="2019" t="s">
        <v>341</v>
      </c>
      <c r="R195" s="2020"/>
      <c r="S195" s="819"/>
      <c r="Z195" s="819"/>
      <c r="AA195" s="819"/>
      <c r="AB195" s="819"/>
      <c r="AC195" s="819"/>
      <c r="AE195" s="819"/>
      <c r="AF195" s="819"/>
      <c r="AG195" s="819"/>
      <c r="AH195" s="819"/>
      <c r="AI195" s="819"/>
      <c r="AJ195" s="819"/>
      <c r="AK195" s="819"/>
      <c r="AL195" s="819"/>
      <c r="AM195" s="819"/>
      <c r="AN195" s="819"/>
      <c r="AO195" s="819"/>
      <c r="AP195" s="819"/>
      <c r="AQ195" s="819"/>
      <c r="AR195" s="819"/>
      <c r="AS195" s="819"/>
      <c r="AT195" s="819"/>
      <c r="AU195" s="819"/>
      <c r="AV195" s="819"/>
      <c r="AW195" s="819"/>
      <c r="AX195" s="819"/>
      <c r="AY195" s="819"/>
      <c r="AZ195" s="819"/>
      <c r="BA195" s="819"/>
      <c r="BB195" s="819"/>
      <c r="BC195" s="819"/>
      <c r="BD195" s="819"/>
      <c r="BE195" s="819"/>
      <c r="BG195" s="819"/>
    </row>
    <row r="196" spans="1:59" ht="14.1" customHeight="1" thickTop="1" thickBot="1">
      <c r="G196" s="1339"/>
      <c r="H196" s="1340"/>
      <c r="I196" s="819"/>
      <c r="J196" s="819"/>
      <c r="K196" s="819"/>
      <c r="L196" s="819"/>
      <c r="M196" s="819"/>
      <c r="N196" s="819"/>
      <c r="O196" s="819"/>
      <c r="P196" s="1336"/>
      <c r="Q196" s="819"/>
      <c r="R196" s="819"/>
      <c r="S196" s="819"/>
      <c r="T196" s="819"/>
      <c r="U196" s="819"/>
      <c r="V196" s="819"/>
      <c r="W196" s="819"/>
      <c r="X196" s="819"/>
      <c r="Y196" s="819"/>
      <c r="Z196" s="819"/>
      <c r="AA196" s="819"/>
      <c r="AB196" s="819"/>
      <c r="AC196" s="819"/>
      <c r="AE196" s="819"/>
      <c r="AF196" s="819"/>
      <c r="AG196" s="819"/>
      <c r="AH196" s="819"/>
      <c r="AI196" s="819"/>
      <c r="AJ196" s="819"/>
      <c r="AK196" s="819"/>
      <c r="AL196" s="819"/>
      <c r="AM196" s="819"/>
      <c r="AN196" s="819"/>
      <c r="AO196" s="819"/>
      <c r="AP196" s="819"/>
      <c r="AQ196" s="819"/>
      <c r="AR196" s="819"/>
      <c r="AS196" s="819"/>
      <c r="AT196" s="819"/>
      <c r="AU196" s="819"/>
      <c r="AV196" s="819"/>
      <c r="AW196" s="819"/>
      <c r="AX196" s="819"/>
      <c r="AY196" s="819"/>
      <c r="AZ196" s="819"/>
      <c r="BA196" s="819"/>
      <c r="BB196" s="819"/>
      <c r="BC196" s="819"/>
      <c r="BD196" s="819"/>
      <c r="BE196" s="819"/>
      <c r="BG196" s="819"/>
    </row>
    <row r="197" spans="1:59" ht="14.1" customHeight="1" thickTop="1" thickBot="1">
      <c r="F197" s="589"/>
      <c r="G197" s="819"/>
      <c r="H197" s="1336"/>
      <c r="I197" s="1341"/>
      <c r="J197" s="2013" t="s">
        <v>1478</v>
      </c>
      <c r="K197" s="1332"/>
      <c r="L197" s="1332"/>
      <c r="M197" s="1332"/>
      <c r="N197" s="1332"/>
      <c r="O197" s="2009" t="s">
        <v>1475</v>
      </c>
      <c r="P197" s="1333"/>
      <c r="Q197" s="819"/>
      <c r="R197" s="819"/>
      <c r="S197" s="819"/>
      <c r="T197" s="819"/>
      <c r="U197" s="819"/>
      <c r="V197" s="819"/>
      <c r="W197" s="819"/>
      <c r="X197" s="819"/>
      <c r="Y197" s="819"/>
      <c r="Z197" s="819"/>
      <c r="AA197" s="819"/>
      <c r="AB197" s="819"/>
      <c r="AC197" s="819"/>
      <c r="AE197" s="819"/>
      <c r="AF197" s="819"/>
      <c r="AG197" s="819"/>
      <c r="AH197" s="819"/>
      <c r="AI197" s="819"/>
      <c r="AJ197" s="819"/>
      <c r="AK197" s="819"/>
      <c r="AL197" s="819"/>
      <c r="AM197" s="819"/>
      <c r="AN197" s="819"/>
      <c r="AO197" s="819"/>
      <c r="AP197" s="819"/>
      <c r="AQ197" s="819"/>
      <c r="AR197" s="819"/>
      <c r="AS197" s="819"/>
      <c r="AT197" s="819"/>
      <c r="AU197" s="819"/>
      <c r="AV197" s="819"/>
      <c r="AW197" s="819"/>
      <c r="AX197" s="819"/>
      <c r="AY197" s="819"/>
      <c r="AZ197" s="819"/>
      <c r="BA197" s="819"/>
      <c r="BB197" s="819"/>
      <c r="BC197" s="819"/>
      <c r="BD197" s="819"/>
      <c r="BE197" s="819"/>
      <c r="BF197" s="819"/>
    </row>
    <row r="198" spans="1:59" ht="12.75" customHeight="1" thickTop="1" thickBot="1">
      <c r="G198" s="819"/>
      <c r="H198" s="819"/>
      <c r="I198" s="819"/>
      <c r="J198" s="2014"/>
      <c r="K198" s="819"/>
      <c r="L198" s="554"/>
      <c r="N198" s="819"/>
      <c r="O198" s="2010"/>
      <c r="P198" s="819"/>
      <c r="Q198" s="819"/>
      <c r="R198" s="819"/>
      <c r="S198" s="819"/>
      <c r="T198" s="819"/>
      <c r="U198" s="819"/>
      <c r="V198" s="819"/>
      <c r="W198" s="819"/>
      <c r="X198" s="819"/>
      <c r="Y198" s="819"/>
      <c r="Z198" s="819"/>
      <c r="AA198" s="819"/>
      <c r="AB198" s="819"/>
      <c r="AC198" s="819"/>
      <c r="AE198" s="819"/>
      <c r="AF198" s="819"/>
      <c r="AG198" s="819"/>
      <c r="AH198" s="819"/>
      <c r="AI198" s="819"/>
      <c r="AJ198" s="819"/>
      <c r="AK198" s="819"/>
      <c r="AL198" s="819"/>
      <c r="AM198" s="819"/>
      <c r="AN198" s="819"/>
      <c r="AO198" s="819"/>
      <c r="AP198" s="819"/>
      <c r="AQ198" s="819"/>
      <c r="AR198" s="819"/>
      <c r="AS198" s="819"/>
      <c r="AT198" s="819"/>
      <c r="AU198" s="819"/>
      <c r="AV198" s="819"/>
      <c r="AW198" s="819"/>
      <c r="AX198" s="819"/>
      <c r="AY198" s="819"/>
      <c r="AZ198" s="819"/>
      <c r="BA198" s="819"/>
      <c r="BB198" s="819"/>
      <c r="BC198" s="819"/>
      <c r="BD198" s="819"/>
      <c r="BE198" s="819"/>
      <c r="BF198" s="819"/>
    </row>
    <row r="199" spans="1:59" ht="12.75" customHeight="1">
      <c r="G199" s="819"/>
      <c r="H199" s="819"/>
      <c r="I199" s="819"/>
      <c r="J199" s="819"/>
      <c r="K199" s="819"/>
      <c r="L199" s="554"/>
      <c r="N199" s="819"/>
      <c r="O199" s="819"/>
      <c r="P199" s="819"/>
      <c r="Q199" s="819"/>
      <c r="R199" s="819"/>
      <c r="S199" s="819"/>
      <c r="T199" s="819"/>
      <c r="U199" s="819"/>
      <c r="V199" s="819"/>
      <c r="W199" s="819"/>
      <c r="X199" s="819"/>
      <c r="Y199" s="819"/>
      <c r="Z199" s="819"/>
      <c r="AA199" s="819"/>
      <c r="AB199" s="819"/>
      <c r="AC199" s="819"/>
      <c r="AE199" s="819"/>
      <c r="AF199" s="819"/>
      <c r="AG199" s="819"/>
      <c r="AH199" s="819"/>
      <c r="AI199" s="819"/>
      <c r="AJ199" s="819"/>
      <c r="AK199" s="819"/>
      <c r="AL199" s="819"/>
      <c r="AM199" s="819"/>
      <c r="AN199" s="819"/>
      <c r="AO199" s="819"/>
      <c r="AP199" s="819"/>
      <c r="AQ199" s="819"/>
      <c r="AR199" s="819"/>
      <c r="AS199" s="819"/>
      <c r="AT199" s="819"/>
      <c r="AU199" s="819"/>
      <c r="AV199" s="819"/>
      <c r="AW199" s="819"/>
      <c r="AX199" s="819"/>
      <c r="AY199" s="819"/>
      <c r="AZ199" s="819"/>
      <c r="BA199" s="819"/>
      <c r="BB199" s="819"/>
      <c r="BC199" s="819"/>
      <c r="BD199" s="819"/>
      <c r="BE199" s="819"/>
      <c r="BF199" s="819"/>
    </row>
    <row r="200" spans="1:59" ht="14.1" customHeight="1">
      <c r="G200" s="819"/>
      <c r="H200" s="819"/>
      <c r="I200" s="819"/>
      <c r="J200" s="819"/>
      <c r="K200" s="819"/>
      <c r="L200" s="567"/>
      <c r="M200" s="533"/>
      <c r="N200" s="819"/>
      <c r="O200" s="819"/>
      <c r="P200" s="819"/>
      <c r="Q200" s="819"/>
      <c r="R200" s="819"/>
      <c r="S200" s="819"/>
      <c r="T200" s="819"/>
      <c r="U200" s="819"/>
      <c r="V200" s="819"/>
      <c r="W200" s="819"/>
      <c r="X200" s="819"/>
      <c r="Y200" s="819"/>
      <c r="Z200" s="819"/>
      <c r="AA200" s="819"/>
      <c r="AB200" s="819"/>
      <c r="AC200" s="819"/>
      <c r="AE200" s="819"/>
      <c r="AF200" s="819"/>
      <c r="AG200" s="819"/>
      <c r="AH200" s="819"/>
      <c r="AI200" s="819"/>
      <c r="AJ200" s="819"/>
      <c r="AK200" s="819"/>
      <c r="AL200" s="819"/>
      <c r="AM200" s="819"/>
      <c r="AN200" s="819"/>
      <c r="AO200" s="819"/>
      <c r="AP200" s="819"/>
      <c r="AQ200" s="819"/>
      <c r="AR200" s="819"/>
      <c r="AS200" s="819"/>
      <c r="AT200" s="819"/>
      <c r="AU200" s="819"/>
      <c r="AV200" s="819"/>
      <c r="AW200" s="819"/>
      <c r="AX200" s="819"/>
      <c r="AY200" s="819"/>
      <c r="AZ200" s="819"/>
      <c r="BA200" s="819"/>
      <c r="BB200" s="819"/>
      <c r="BC200" s="819"/>
      <c r="BD200" s="819"/>
      <c r="BE200" s="819"/>
      <c r="BF200" s="819"/>
    </row>
    <row r="201" spans="1:59" ht="14.1" customHeight="1">
      <c r="F201" s="2011"/>
      <c r="G201" s="2011"/>
      <c r="H201" s="819"/>
      <c r="I201" s="819"/>
      <c r="J201" s="819"/>
      <c r="K201" s="819"/>
      <c r="L201" s="2012" t="s">
        <v>1480</v>
      </c>
      <c r="M201" s="2012"/>
      <c r="N201" s="819"/>
      <c r="O201" s="819"/>
      <c r="P201" s="819"/>
      <c r="Q201" s="819"/>
      <c r="R201" s="819"/>
      <c r="S201" s="819"/>
      <c r="T201" s="819"/>
      <c r="U201" s="819"/>
      <c r="V201" s="819"/>
      <c r="W201" s="819"/>
      <c r="X201" s="819"/>
      <c r="Y201" s="819"/>
      <c r="Z201" s="819"/>
      <c r="AA201" s="819"/>
      <c r="AB201" s="819"/>
      <c r="AC201" s="819"/>
      <c r="AE201" s="819"/>
      <c r="AF201" s="819"/>
      <c r="AG201" s="819"/>
      <c r="AH201" s="819"/>
      <c r="AI201" s="819"/>
      <c r="AJ201" s="819"/>
      <c r="AK201" s="819"/>
      <c r="AL201" s="819"/>
      <c r="AM201" s="819"/>
      <c r="AN201" s="819"/>
      <c r="AO201" s="819"/>
      <c r="AP201" s="819"/>
      <c r="AQ201" s="819"/>
      <c r="AR201" s="819"/>
      <c r="AS201" s="819"/>
      <c r="AT201" s="819"/>
      <c r="AU201" s="819"/>
      <c r="AV201" s="819"/>
      <c r="AW201" s="819"/>
      <c r="AX201" s="819"/>
      <c r="AY201" s="819"/>
      <c r="AZ201" s="819"/>
      <c r="BA201" s="819"/>
      <c r="BB201" s="819"/>
      <c r="BC201" s="819"/>
      <c r="BD201" s="819"/>
      <c r="BE201" s="819"/>
      <c r="BF201" s="819"/>
    </row>
    <row r="202" spans="1:59" ht="14.1" customHeight="1">
      <c r="B202" s="819"/>
      <c r="C202" s="819"/>
      <c r="D202" s="819"/>
      <c r="E202" s="819"/>
      <c r="F202" s="2011"/>
      <c r="G202" s="2011"/>
      <c r="H202" s="590"/>
      <c r="I202" s="590"/>
      <c r="J202" s="819"/>
      <c r="K202" s="819"/>
      <c r="L202" s="819"/>
      <c r="M202" s="819"/>
      <c r="N202" s="819"/>
      <c r="O202" s="819"/>
      <c r="P202" s="819"/>
      <c r="Q202" s="819"/>
      <c r="R202" s="819"/>
      <c r="S202" s="819"/>
      <c r="T202" s="819"/>
      <c r="U202" s="819"/>
      <c r="V202" s="819"/>
      <c r="W202" s="819"/>
      <c r="X202" s="819"/>
      <c r="Y202" s="819"/>
      <c r="Z202" s="819"/>
      <c r="AA202" s="819"/>
      <c r="AB202" s="819"/>
      <c r="AC202" s="819"/>
      <c r="AE202" s="819"/>
      <c r="AF202" s="819"/>
      <c r="AG202" s="819"/>
      <c r="AH202" s="819"/>
      <c r="AI202" s="819"/>
      <c r="AJ202" s="819"/>
      <c r="AK202" s="819"/>
      <c r="AL202" s="819"/>
      <c r="AM202" s="819"/>
      <c r="AN202" s="819"/>
      <c r="AO202" s="819"/>
      <c r="AP202" s="819"/>
      <c r="AQ202" s="819"/>
      <c r="AR202" s="819"/>
      <c r="AS202" s="819"/>
      <c r="AT202" s="819"/>
      <c r="AU202" s="819"/>
      <c r="AV202" s="819"/>
      <c r="AW202" s="819"/>
      <c r="AX202" s="819"/>
      <c r="AY202" s="819"/>
      <c r="AZ202" s="819"/>
      <c r="BA202" s="819"/>
      <c r="BB202" s="819"/>
      <c r="BC202" s="819"/>
      <c r="BD202" s="819"/>
      <c r="BE202" s="819"/>
      <c r="BF202" s="819"/>
    </row>
    <row r="203" spans="1:59" ht="14.1" customHeight="1">
      <c r="A203" s="1403"/>
      <c r="B203" s="1403"/>
      <c r="C203" s="2008" t="s">
        <v>1495</v>
      </c>
      <c r="D203" s="2008"/>
      <c r="E203" s="2008"/>
      <c r="F203" s="2008"/>
      <c r="G203" s="2008"/>
      <c r="H203" s="2008"/>
      <c r="I203" s="2008"/>
      <c r="J203" s="2008"/>
      <c r="U203" s="819"/>
      <c r="V203" s="819"/>
      <c r="W203" s="819"/>
      <c r="X203" s="819"/>
      <c r="Y203" s="819"/>
      <c r="Z203" s="819"/>
      <c r="AA203" s="819"/>
      <c r="AB203" s="819"/>
      <c r="AC203" s="819"/>
      <c r="AE203" s="819"/>
      <c r="AF203" s="819"/>
      <c r="AG203" s="819"/>
      <c r="AH203" s="819"/>
      <c r="AI203" s="819"/>
      <c r="AJ203" s="819"/>
      <c r="AK203" s="819"/>
      <c r="AL203" s="819"/>
      <c r="AM203" s="819"/>
      <c r="AN203" s="819"/>
      <c r="AO203" s="819"/>
      <c r="AP203" s="819"/>
      <c r="AQ203" s="819"/>
      <c r="AR203" s="819"/>
      <c r="AS203" s="819"/>
      <c r="AT203" s="819"/>
      <c r="AU203" s="819"/>
      <c r="AV203" s="819"/>
      <c r="AW203" s="819"/>
      <c r="AX203" s="819"/>
      <c r="AY203" s="819"/>
      <c r="AZ203" s="819"/>
      <c r="BA203" s="819"/>
      <c r="BC203" s="819"/>
      <c r="BD203" s="819"/>
      <c r="BE203" s="819"/>
      <c r="BF203" s="819"/>
      <c r="BG203" s="819"/>
    </row>
    <row r="204" spans="1:59" ht="14.1" customHeight="1">
      <c r="A204" s="819"/>
      <c r="B204" s="819"/>
      <c r="C204" s="819"/>
      <c r="D204" s="2093" t="s">
        <v>1496</v>
      </c>
      <c r="E204" s="2093"/>
      <c r="F204" s="2093"/>
      <c r="G204" s="2093"/>
      <c r="H204" s="2093"/>
      <c r="I204" s="2093"/>
      <c r="J204" s="2093"/>
      <c r="K204" s="2093"/>
      <c r="L204" s="2093"/>
      <c r="M204" s="2093"/>
      <c r="N204" s="2093"/>
      <c r="O204" s="2093"/>
      <c r="P204" s="2093"/>
      <c r="Q204" s="2093"/>
      <c r="R204" s="2093"/>
      <c r="S204" s="2093"/>
      <c r="T204" s="2093"/>
      <c r="U204" s="2093"/>
      <c r="V204" s="2093"/>
      <c r="W204" s="2093"/>
      <c r="X204" s="2093"/>
      <c r="Y204" s="2093"/>
      <c r="Z204" s="2093"/>
      <c r="AA204" s="2093"/>
      <c r="AB204" s="2093"/>
      <c r="AC204" s="819"/>
      <c r="AE204" s="819"/>
      <c r="AF204" s="819"/>
      <c r="AG204" s="819"/>
      <c r="AH204" s="819"/>
      <c r="AI204" s="819"/>
      <c r="AJ204" s="819"/>
      <c r="AK204" s="819"/>
      <c r="AL204" s="819"/>
      <c r="AM204" s="819"/>
      <c r="AN204" s="819"/>
      <c r="AO204" s="819"/>
      <c r="AP204" s="819"/>
      <c r="AQ204" s="819"/>
      <c r="AR204" s="819"/>
      <c r="AS204" s="819"/>
      <c r="AT204" s="819"/>
      <c r="AU204" s="819"/>
      <c r="AV204" s="819"/>
      <c r="AW204" s="819"/>
      <c r="AX204" s="819"/>
      <c r="AY204" s="819"/>
      <c r="AZ204" s="819"/>
      <c r="BB204" s="819"/>
      <c r="BC204" s="819"/>
      <c r="BD204" s="819"/>
      <c r="BE204" s="819"/>
      <c r="BF204" s="819"/>
      <c r="BG204" s="819"/>
    </row>
    <row r="205" spans="1:59" ht="14.1" customHeight="1">
      <c r="A205" s="819"/>
      <c r="B205" s="819"/>
      <c r="C205" s="819"/>
      <c r="D205" s="2093"/>
      <c r="E205" s="2093"/>
      <c r="F205" s="2093"/>
      <c r="G205" s="2093"/>
      <c r="H205" s="2093"/>
      <c r="I205" s="2093"/>
      <c r="J205" s="2093"/>
      <c r="K205" s="2093"/>
      <c r="L205" s="2093"/>
      <c r="M205" s="2093"/>
      <c r="N205" s="2093"/>
      <c r="O205" s="2093"/>
      <c r="P205" s="2093"/>
      <c r="Q205" s="2093"/>
      <c r="R205" s="2093"/>
      <c r="S205" s="2093"/>
      <c r="T205" s="2093"/>
      <c r="U205" s="2093"/>
      <c r="V205" s="2093"/>
      <c r="W205" s="2093"/>
      <c r="X205" s="2093"/>
      <c r="Y205" s="2093"/>
      <c r="Z205" s="2093"/>
      <c r="AA205" s="2093"/>
      <c r="AB205" s="2093"/>
      <c r="AC205" s="819"/>
      <c r="AE205" s="819"/>
      <c r="AF205" s="819"/>
      <c r="AG205" s="819"/>
      <c r="AH205" s="819"/>
      <c r="AI205" s="819"/>
      <c r="AJ205" s="819"/>
      <c r="AK205" s="819"/>
      <c r="AL205" s="819"/>
      <c r="AM205" s="819"/>
      <c r="AN205" s="819"/>
      <c r="AO205" s="819"/>
      <c r="AP205" s="819"/>
      <c r="AQ205" s="819"/>
      <c r="AR205" s="819"/>
      <c r="AS205" s="819"/>
      <c r="AT205" s="819"/>
      <c r="AU205" s="819"/>
      <c r="AV205" s="819"/>
      <c r="AW205" s="819"/>
      <c r="AX205" s="819"/>
      <c r="AY205" s="819"/>
      <c r="AZ205" s="819"/>
      <c r="BA205" s="819"/>
      <c r="BC205" s="819"/>
      <c r="BD205" s="819"/>
      <c r="BE205" s="819"/>
      <c r="BF205" s="819"/>
      <c r="BG205" s="819"/>
    </row>
    <row r="206" spans="1:59" ht="14.1" customHeight="1">
      <c r="A206" s="819"/>
      <c r="B206" s="819"/>
      <c r="C206" s="819"/>
      <c r="D206" s="2093"/>
      <c r="E206" s="2093"/>
      <c r="F206" s="2093"/>
      <c r="G206" s="2093"/>
      <c r="H206" s="2093"/>
      <c r="I206" s="2093"/>
      <c r="J206" s="2093"/>
      <c r="K206" s="2093"/>
      <c r="L206" s="2093"/>
      <c r="M206" s="2093"/>
      <c r="N206" s="2093"/>
      <c r="O206" s="2093"/>
      <c r="P206" s="2093"/>
      <c r="Q206" s="2093"/>
      <c r="R206" s="2093"/>
      <c r="S206" s="2093"/>
      <c r="T206" s="2093"/>
      <c r="U206" s="2093"/>
      <c r="V206" s="2093"/>
      <c r="W206" s="2093"/>
      <c r="X206" s="2093"/>
      <c r="Y206" s="2093"/>
      <c r="Z206" s="2093"/>
      <c r="AA206" s="2093"/>
      <c r="AB206" s="2093"/>
      <c r="AC206" s="819"/>
      <c r="AE206" s="819"/>
      <c r="AF206" s="819"/>
      <c r="AG206" s="819"/>
      <c r="AH206" s="819"/>
      <c r="AI206" s="819"/>
      <c r="AJ206" s="819"/>
      <c r="AK206" s="819"/>
      <c r="AL206" s="819"/>
      <c r="AM206" s="819"/>
      <c r="AN206" s="819"/>
      <c r="AO206" s="819"/>
      <c r="AP206" s="819"/>
      <c r="AQ206" s="819"/>
      <c r="AR206" s="819"/>
      <c r="AS206" s="819"/>
      <c r="AT206" s="819"/>
      <c r="AU206" s="819"/>
      <c r="AV206" s="819"/>
      <c r="AW206" s="819"/>
      <c r="AX206" s="819"/>
      <c r="AY206" s="819"/>
      <c r="AZ206" s="819"/>
      <c r="BA206" s="819"/>
      <c r="BC206" s="819"/>
      <c r="BD206" s="819"/>
      <c r="BE206" s="819"/>
      <c r="BF206" s="819"/>
      <c r="BG206" s="819"/>
    </row>
    <row r="207" spans="1:59" ht="14.1" customHeight="1">
      <c r="A207" s="819"/>
      <c r="B207" s="819"/>
      <c r="C207" s="819"/>
      <c r="D207" s="2093"/>
      <c r="E207" s="2093"/>
      <c r="F207" s="2093"/>
      <c r="G207" s="2093"/>
      <c r="H207" s="2093"/>
      <c r="I207" s="2093"/>
      <c r="J207" s="2093"/>
      <c r="K207" s="2093"/>
      <c r="L207" s="2093"/>
      <c r="M207" s="2093"/>
      <c r="N207" s="2093"/>
      <c r="O207" s="2093"/>
      <c r="P207" s="2093"/>
      <c r="Q207" s="2093"/>
      <c r="R207" s="2093"/>
      <c r="S207" s="2093"/>
      <c r="T207" s="2093"/>
      <c r="U207" s="2093"/>
      <c r="V207" s="2093"/>
      <c r="W207" s="2093"/>
      <c r="X207" s="2093"/>
      <c r="Y207" s="2093"/>
      <c r="Z207" s="2093"/>
      <c r="AA207" s="2093"/>
      <c r="AB207" s="2093"/>
      <c r="AC207" s="819"/>
      <c r="AE207" s="819"/>
      <c r="AF207" s="819"/>
      <c r="AG207" s="819"/>
      <c r="AH207" s="819"/>
      <c r="AI207" s="819"/>
      <c r="AJ207" s="819"/>
      <c r="AK207" s="819"/>
      <c r="AL207" s="819"/>
      <c r="AM207" s="819"/>
      <c r="AN207" s="819"/>
      <c r="AO207" s="819"/>
      <c r="AP207" s="819"/>
      <c r="AQ207" s="819"/>
      <c r="AR207" s="819"/>
      <c r="AS207" s="819"/>
      <c r="AT207" s="819"/>
      <c r="AU207" s="819"/>
      <c r="AV207" s="819"/>
      <c r="AW207" s="819"/>
      <c r="AX207" s="819"/>
      <c r="AY207" s="819"/>
      <c r="AZ207" s="819"/>
      <c r="BA207" s="819"/>
      <c r="BC207" s="819"/>
      <c r="BD207" s="819"/>
      <c r="BE207" s="819"/>
      <c r="BF207" s="819"/>
      <c r="BG207" s="819"/>
    </row>
    <row r="208" spans="1:59" ht="14.1" customHeight="1">
      <c r="A208" s="819"/>
      <c r="B208" s="819"/>
      <c r="C208" s="819"/>
      <c r="D208" s="2093"/>
      <c r="E208" s="2093"/>
      <c r="F208" s="2093"/>
      <c r="G208" s="2093"/>
      <c r="H208" s="2093"/>
      <c r="I208" s="2093"/>
      <c r="J208" s="2093"/>
      <c r="K208" s="2093"/>
      <c r="L208" s="2093"/>
      <c r="M208" s="2093"/>
      <c r="N208" s="2093"/>
      <c r="O208" s="2093"/>
      <c r="P208" s="2093"/>
      <c r="Q208" s="2093"/>
      <c r="R208" s="2093"/>
      <c r="S208" s="2093"/>
      <c r="T208" s="2093"/>
      <c r="U208" s="2093"/>
      <c r="V208" s="2093"/>
      <c r="W208" s="2093"/>
      <c r="X208" s="2093"/>
      <c r="Y208" s="2093"/>
      <c r="Z208" s="2093"/>
      <c r="AA208" s="2093"/>
      <c r="AB208" s="2093"/>
      <c r="AC208" s="819"/>
      <c r="AE208" s="819"/>
      <c r="AF208" s="819"/>
      <c r="AG208" s="819"/>
      <c r="AH208" s="819"/>
      <c r="AI208" s="819"/>
      <c r="AJ208" s="819"/>
      <c r="AK208" s="819"/>
      <c r="AL208" s="819"/>
      <c r="AM208" s="819"/>
      <c r="AN208" s="819"/>
      <c r="AO208" s="819"/>
      <c r="AP208" s="819"/>
      <c r="AQ208" s="819"/>
      <c r="AR208" s="819"/>
      <c r="AS208" s="819"/>
      <c r="AT208" s="819"/>
      <c r="AU208" s="819"/>
      <c r="AV208" s="819"/>
      <c r="AW208" s="819"/>
      <c r="AX208" s="819"/>
      <c r="AY208" s="819"/>
      <c r="AZ208" s="819"/>
      <c r="BA208" s="819"/>
      <c r="BC208" s="819"/>
      <c r="BD208" s="819"/>
      <c r="BE208" s="819"/>
      <c r="BF208" s="819"/>
      <c r="BG208" s="819"/>
    </row>
    <row r="209" spans="1:53" ht="14.1" customHeight="1">
      <c r="A209" s="819"/>
      <c r="B209" s="819"/>
      <c r="C209" s="819"/>
      <c r="D209" s="2093"/>
      <c r="E209" s="2093"/>
      <c r="F209" s="2093"/>
      <c r="G209" s="2093"/>
      <c r="H209" s="2093"/>
      <c r="I209" s="2093"/>
      <c r="J209" s="2093"/>
      <c r="K209" s="2093"/>
      <c r="L209" s="2093"/>
      <c r="M209" s="2093"/>
      <c r="N209" s="2093"/>
      <c r="O209" s="2093"/>
      <c r="P209" s="2093"/>
      <c r="Q209" s="2093"/>
      <c r="R209" s="2093"/>
      <c r="S209" s="2093"/>
      <c r="T209" s="2093"/>
      <c r="U209" s="2093"/>
      <c r="V209" s="2093"/>
      <c r="W209" s="2093"/>
      <c r="X209" s="2093"/>
      <c r="Y209" s="2093"/>
      <c r="Z209" s="2093"/>
      <c r="AA209" s="2093"/>
      <c r="AB209" s="2093"/>
      <c r="AC209" s="819"/>
      <c r="AE209" s="819"/>
      <c r="AF209" s="819"/>
      <c r="AG209" s="819"/>
      <c r="AH209" s="819"/>
      <c r="AI209" s="819"/>
      <c r="AJ209" s="819"/>
      <c r="AK209" s="819"/>
      <c r="AL209" s="819"/>
      <c r="AM209" s="819"/>
      <c r="AN209" s="819"/>
      <c r="AO209" s="819"/>
      <c r="AP209" s="819"/>
      <c r="AQ209" s="819"/>
      <c r="AR209" s="819"/>
      <c r="AS209" s="819"/>
      <c r="AT209" s="819"/>
      <c r="AU209" s="819"/>
      <c r="AV209" s="819"/>
      <c r="AW209" s="819"/>
      <c r="AX209" s="819"/>
      <c r="AY209" s="819"/>
      <c r="AZ209" s="819"/>
      <c r="BA209" s="819"/>
    </row>
    <row r="210" spans="1:53" ht="14.1" customHeight="1" thickBot="1">
      <c r="B210" s="1323"/>
      <c r="C210" s="1323"/>
      <c r="D210" s="1331"/>
      <c r="E210" s="1331"/>
      <c r="F210" s="1331"/>
      <c r="G210" s="1331"/>
      <c r="H210" s="1331"/>
      <c r="I210" s="1331"/>
      <c r="J210" s="1331"/>
      <c r="K210" s="1331"/>
      <c r="L210" s="1331"/>
      <c r="M210" s="1331"/>
      <c r="N210" s="1331"/>
      <c r="O210" s="1331"/>
      <c r="P210" s="1331"/>
      <c r="Q210" s="1331"/>
      <c r="R210" s="1331"/>
      <c r="S210" s="1331"/>
      <c r="T210" s="1331"/>
      <c r="U210" s="1331"/>
      <c r="V210" s="1331"/>
      <c r="W210" s="1331"/>
      <c r="X210" s="1331"/>
      <c r="Y210" s="1331"/>
      <c r="Z210" s="1331"/>
      <c r="AA210" s="1331"/>
      <c r="AB210" s="1331"/>
      <c r="AC210" s="819"/>
      <c r="AE210" s="819"/>
      <c r="AF210" s="819"/>
      <c r="AG210" s="819"/>
      <c r="AH210" s="819"/>
      <c r="AI210" s="819"/>
      <c r="AJ210" s="819"/>
      <c r="AK210" s="819"/>
      <c r="AL210" s="819"/>
      <c r="AM210" s="819"/>
      <c r="AN210" s="819"/>
      <c r="AO210" s="819"/>
      <c r="AP210" s="819"/>
      <c r="AQ210" s="819"/>
      <c r="AR210" s="819"/>
      <c r="AS210" s="819"/>
      <c r="AT210" s="819"/>
      <c r="AU210" s="819"/>
      <c r="AV210" s="819"/>
      <c r="AW210" s="819"/>
      <c r="AX210" s="819"/>
      <c r="AY210" s="819"/>
      <c r="AZ210" s="819"/>
      <c r="BA210" s="819"/>
    </row>
    <row r="211" spans="1:53" ht="13.5" customHeight="1" thickTop="1">
      <c r="B211" s="819"/>
      <c r="C211" s="819"/>
      <c r="D211" s="1338"/>
      <c r="E211" s="1338"/>
      <c r="F211" s="1338"/>
      <c r="G211" s="1338"/>
      <c r="H211" s="1338"/>
      <c r="I211" s="1338"/>
      <c r="J211" s="1338"/>
      <c r="K211" s="1338"/>
      <c r="L211" s="1338"/>
      <c r="M211" s="1338"/>
      <c r="N211" s="1338"/>
      <c r="O211" s="1338"/>
      <c r="P211" s="1338"/>
      <c r="Q211" s="1338"/>
      <c r="R211" s="1338"/>
      <c r="S211" s="1338"/>
      <c r="T211" s="1338"/>
      <c r="U211" s="1338"/>
      <c r="V211" s="1338"/>
      <c r="W211" s="1338"/>
      <c r="X211" s="1338"/>
      <c r="Y211" s="1338"/>
      <c r="Z211" s="1338"/>
      <c r="AA211" s="1338"/>
      <c r="AB211" s="1338"/>
      <c r="AC211" s="819"/>
      <c r="AE211" s="819"/>
      <c r="AF211" s="819"/>
      <c r="AG211" s="819"/>
      <c r="AH211" s="819"/>
      <c r="AI211" s="819"/>
      <c r="AJ211" s="819"/>
      <c r="AK211" s="819"/>
      <c r="AL211" s="819"/>
      <c r="AM211" s="819"/>
      <c r="AN211" s="819"/>
      <c r="AO211" s="819"/>
      <c r="AP211" s="819"/>
      <c r="AQ211" s="819"/>
      <c r="AR211" s="819"/>
      <c r="AS211" s="819"/>
      <c r="AT211" s="819"/>
      <c r="AU211" s="819"/>
      <c r="AV211" s="819"/>
      <c r="AW211" s="819"/>
      <c r="AX211" s="819"/>
      <c r="AY211" s="819"/>
      <c r="AZ211" s="819"/>
      <c r="BA211" s="819"/>
    </row>
    <row r="212" spans="1:53" ht="14.1" customHeight="1">
      <c r="A212" s="819"/>
      <c r="B212" s="796"/>
      <c r="C212" s="797"/>
      <c r="D212" s="797"/>
      <c r="E212" s="797"/>
      <c r="F212" s="797"/>
      <c r="G212" s="798" t="s">
        <v>1497</v>
      </c>
      <c r="H212" s="798"/>
      <c r="I212" s="797"/>
      <c r="J212" s="797"/>
      <c r="K212" s="797"/>
      <c r="L212" s="797"/>
      <c r="M212" s="797"/>
      <c r="N212" s="797"/>
      <c r="O212" s="797"/>
      <c r="P212" s="797"/>
      <c r="Q212" s="797"/>
      <c r="R212" s="797"/>
      <c r="S212" s="797"/>
      <c r="T212" s="797"/>
      <c r="U212" s="797"/>
      <c r="V212" s="798" t="s">
        <v>1497</v>
      </c>
      <c r="W212" s="798"/>
      <c r="X212" s="797"/>
      <c r="Y212" s="797"/>
      <c r="Z212" s="797"/>
      <c r="AA212" s="797"/>
      <c r="AB212" s="796"/>
      <c r="AC212" s="819"/>
      <c r="AE212" s="819"/>
      <c r="AF212" s="819"/>
      <c r="AG212" s="819"/>
      <c r="AH212" s="819"/>
      <c r="AI212" s="819"/>
      <c r="AJ212" s="819"/>
      <c r="AK212" s="819"/>
      <c r="AL212" s="819"/>
      <c r="AM212" s="819"/>
      <c r="AN212" s="819"/>
      <c r="AO212" s="819"/>
      <c r="AP212" s="819"/>
      <c r="AQ212" s="819"/>
      <c r="AR212" s="819"/>
      <c r="AS212" s="819"/>
      <c r="AT212" s="819"/>
      <c r="AU212" s="819"/>
      <c r="AV212" s="819"/>
      <c r="AW212" s="819"/>
      <c r="AX212" s="819"/>
      <c r="AY212" s="819"/>
      <c r="AZ212" s="819"/>
      <c r="BA212" s="819"/>
    </row>
    <row r="213" spans="1:53" ht="14.1" customHeight="1">
      <c r="A213" s="819"/>
      <c r="B213" s="814"/>
      <c r="C213" s="814"/>
      <c r="D213" s="796"/>
      <c r="E213" s="796"/>
      <c r="F213" s="796"/>
      <c r="G213" s="810"/>
      <c r="H213" s="811"/>
      <c r="I213" s="796"/>
      <c r="J213" s="796"/>
      <c r="K213" s="796"/>
      <c r="L213" s="796"/>
      <c r="M213" s="796"/>
      <c r="N213" s="796"/>
      <c r="O213" s="796"/>
      <c r="P213" s="814"/>
      <c r="Q213" s="814"/>
      <c r="R213" s="814"/>
      <c r="S213" s="796"/>
      <c r="T213" s="796"/>
      <c r="U213" s="796"/>
      <c r="V213" s="810"/>
      <c r="W213" s="811"/>
      <c r="X213" s="796"/>
      <c r="Y213" s="796"/>
      <c r="Z213" s="796"/>
      <c r="AA213" s="796"/>
      <c r="AB213" s="796"/>
      <c r="AC213" s="819"/>
      <c r="AE213" s="819"/>
      <c r="AF213" s="819"/>
      <c r="AG213" s="819"/>
      <c r="AH213" s="819"/>
      <c r="AI213" s="819"/>
      <c r="AJ213" s="819"/>
      <c r="AK213" s="819"/>
      <c r="AL213" s="819"/>
      <c r="AM213" s="819"/>
      <c r="AN213" s="819"/>
      <c r="AO213" s="819"/>
      <c r="AP213" s="819"/>
      <c r="AQ213" s="819"/>
      <c r="AR213" s="819"/>
      <c r="AS213" s="819"/>
      <c r="AT213" s="819"/>
      <c r="AU213" s="819"/>
      <c r="AV213" s="819"/>
      <c r="AW213" s="819"/>
      <c r="AX213" s="819"/>
      <c r="AY213" s="819"/>
      <c r="AZ213" s="819"/>
      <c r="BA213" s="819"/>
    </row>
    <row r="214" spans="1:53" ht="14.1" customHeight="1">
      <c r="A214" s="819"/>
      <c r="B214" s="814"/>
      <c r="C214" s="814"/>
      <c r="D214" s="796"/>
      <c r="E214" s="796"/>
      <c r="F214" s="796"/>
      <c r="G214" s="812"/>
      <c r="H214" s="815"/>
      <c r="I214" s="796"/>
      <c r="J214" s="796"/>
      <c r="K214" s="796"/>
      <c r="L214" s="796"/>
      <c r="M214" s="796"/>
      <c r="N214" s="796"/>
      <c r="O214" s="796"/>
      <c r="P214" s="814"/>
      <c r="Q214" s="814"/>
      <c r="R214" s="814"/>
      <c r="S214" s="796"/>
      <c r="T214" s="796"/>
      <c r="U214" s="796"/>
      <c r="V214" s="812"/>
      <c r="W214" s="815"/>
      <c r="X214" s="796"/>
      <c r="Y214" s="796"/>
      <c r="Z214" s="796"/>
      <c r="AA214" s="796"/>
      <c r="AB214" s="796"/>
      <c r="AC214" s="819"/>
      <c r="AE214" s="819"/>
      <c r="AF214" s="819"/>
      <c r="AG214" s="819"/>
      <c r="AH214" s="819"/>
      <c r="AI214" s="819"/>
      <c r="AJ214" s="819"/>
      <c r="AK214" s="819"/>
      <c r="AL214" s="819"/>
      <c r="AM214" s="819"/>
      <c r="AN214" s="819"/>
      <c r="AO214" s="819"/>
      <c r="AP214" s="819"/>
      <c r="AQ214" s="819"/>
      <c r="AR214" s="819"/>
      <c r="AS214" s="819"/>
      <c r="AT214" s="819"/>
      <c r="AU214" s="819"/>
      <c r="AV214" s="819"/>
      <c r="AW214" s="819"/>
      <c r="AX214" s="819"/>
      <c r="AY214" s="819"/>
      <c r="AZ214" s="819"/>
      <c r="BA214" s="819"/>
    </row>
    <row r="215" spans="1:53" ht="14.1" customHeight="1">
      <c r="A215" s="819"/>
      <c r="B215" s="814"/>
      <c r="C215" s="814"/>
      <c r="D215" s="796"/>
      <c r="E215" s="796" t="s">
        <v>1498</v>
      </c>
      <c r="F215" s="796"/>
      <c r="G215" s="815"/>
      <c r="H215" s="815"/>
      <c r="I215" s="796"/>
      <c r="J215" s="796"/>
      <c r="K215" s="796"/>
      <c r="L215" s="796"/>
      <c r="M215" s="796"/>
      <c r="N215" s="796"/>
      <c r="O215" s="796"/>
      <c r="P215" s="814"/>
      <c r="Q215" s="814"/>
      <c r="R215" s="814"/>
      <c r="S215" s="796"/>
      <c r="T215" s="796"/>
      <c r="U215" s="796"/>
      <c r="V215" s="815"/>
      <c r="W215" s="815"/>
      <c r="X215" s="796"/>
      <c r="Y215" s="796"/>
      <c r="Z215" s="796"/>
      <c r="AA215" s="796"/>
      <c r="AB215" s="796"/>
      <c r="AC215" s="819"/>
      <c r="AE215" s="819"/>
      <c r="AF215" s="819"/>
      <c r="AG215" s="819"/>
      <c r="AH215" s="819"/>
      <c r="AI215" s="819"/>
      <c r="AJ215" s="819"/>
      <c r="AK215" s="819"/>
      <c r="AL215" s="819"/>
      <c r="AM215" s="819"/>
      <c r="AN215" s="819"/>
      <c r="AO215" s="819"/>
      <c r="AP215" s="819"/>
      <c r="AQ215" s="819"/>
      <c r="AR215" s="819"/>
      <c r="AS215" s="819"/>
      <c r="AT215" s="819"/>
      <c r="AU215" s="819"/>
      <c r="AV215" s="819"/>
      <c r="AW215" s="819"/>
      <c r="AX215" s="819"/>
      <c r="AY215" s="819"/>
      <c r="AZ215" s="819"/>
      <c r="BA215" s="819"/>
    </row>
    <row r="216" spans="1:53" ht="14.1" customHeight="1">
      <c r="A216" s="819"/>
      <c r="B216" s="814"/>
      <c r="C216" s="814"/>
      <c r="D216" s="796"/>
      <c r="E216" s="796"/>
      <c r="F216" s="796"/>
      <c r="G216" s="815"/>
      <c r="H216" s="815"/>
      <c r="I216" s="796"/>
      <c r="J216" s="796"/>
      <c r="K216" s="796"/>
      <c r="L216" s="796"/>
      <c r="M216" s="796"/>
      <c r="N216" s="796"/>
      <c r="O216" s="796"/>
      <c r="P216" s="814"/>
      <c r="Q216" s="814"/>
      <c r="R216" s="814"/>
      <c r="S216" s="796"/>
      <c r="T216" s="796"/>
      <c r="U216" s="796"/>
      <c r="V216" s="815"/>
      <c r="W216" s="815"/>
      <c r="X216" s="796"/>
      <c r="Y216" s="796"/>
      <c r="Z216" s="796"/>
      <c r="AA216" s="796"/>
      <c r="AB216" s="796"/>
      <c r="AC216" s="819"/>
      <c r="AE216" s="819"/>
      <c r="AF216" s="819"/>
      <c r="AG216" s="819"/>
      <c r="AH216" s="819"/>
      <c r="AI216" s="819"/>
      <c r="AJ216" s="819"/>
      <c r="AK216" s="819"/>
      <c r="AL216" s="819"/>
      <c r="AM216" s="819"/>
      <c r="AN216" s="819"/>
      <c r="AO216" s="819"/>
      <c r="AP216" s="819"/>
      <c r="AQ216" s="819"/>
      <c r="AR216" s="819"/>
      <c r="AS216" s="819"/>
      <c r="AT216" s="819"/>
      <c r="AU216" s="819"/>
      <c r="AV216" s="819"/>
      <c r="AW216" s="819"/>
      <c r="AX216" s="819"/>
      <c r="AY216" s="819"/>
      <c r="AZ216" s="819"/>
      <c r="BA216" s="819"/>
    </row>
    <row r="217" spans="1:53" ht="14.1" customHeight="1">
      <c r="A217" s="819"/>
      <c r="B217" s="814"/>
      <c r="C217" s="814"/>
      <c r="D217" s="796"/>
      <c r="E217" s="796"/>
      <c r="F217" s="796"/>
      <c r="G217" s="796"/>
      <c r="H217" s="796"/>
      <c r="I217" s="796"/>
      <c r="J217" s="796"/>
      <c r="K217" s="796"/>
      <c r="L217" s="796"/>
      <c r="M217" s="796"/>
      <c r="N217" s="796"/>
      <c r="O217" s="796"/>
      <c r="P217" s="814"/>
      <c r="Q217" s="814"/>
      <c r="R217" s="814"/>
      <c r="S217" s="796"/>
      <c r="T217" s="796"/>
      <c r="U217" s="796"/>
      <c r="V217" s="796"/>
      <c r="W217" s="796"/>
      <c r="X217" s="796"/>
      <c r="Y217" s="796"/>
      <c r="Z217" s="796"/>
      <c r="AA217" s="796"/>
      <c r="AB217" s="796"/>
      <c r="AC217" s="819"/>
      <c r="AE217" s="819"/>
      <c r="AF217" s="819"/>
      <c r="AG217" s="819"/>
      <c r="AH217" s="819"/>
      <c r="AI217" s="819"/>
      <c r="AJ217" s="819"/>
      <c r="AK217" s="819"/>
      <c r="AL217" s="819"/>
      <c r="AM217" s="819"/>
      <c r="AN217" s="819"/>
      <c r="AO217" s="819"/>
      <c r="AP217" s="819"/>
      <c r="AQ217" s="819"/>
      <c r="AR217" s="819"/>
      <c r="AS217" s="819"/>
      <c r="AT217" s="819"/>
      <c r="AU217" s="819"/>
      <c r="AV217" s="819"/>
      <c r="AW217" s="819"/>
      <c r="AX217" s="819"/>
      <c r="AY217" s="819"/>
      <c r="AZ217" s="819"/>
      <c r="BA217" s="819"/>
    </row>
    <row r="218" spans="1:53" ht="14.1" customHeight="1">
      <c r="A218" s="819"/>
      <c r="B218" s="814"/>
      <c r="C218" s="814"/>
      <c r="D218" s="796"/>
      <c r="E218" s="796"/>
      <c r="F218" s="796"/>
      <c r="G218" s="801"/>
      <c r="H218" s="796"/>
      <c r="I218" s="796"/>
      <c r="J218" s="796"/>
      <c r="K218" s="796"/>
      <c r="L218" s="796"/>
      <c r="M218" s="796"/>
      <c r="N218" s="796"/>
      <c r="O218" s="796"/>
      <c r="P218" s="814"/>
      <c r="Q218" s="814"/>
      <c r="R218" s="814"/>
      <c r="S218" s="796"/>
      <c r="T218" s="796"/>
      <c r="U218" s="796"/>
      <c r="V218" s="801"/>
      <c r="W218" s="796"/>
      <c r="X218" s="796"/>
      <c r="Y218" s="796"/>
      <c r="Z218" s="796"/>
      <c r="AA218" s="796"/>
      <c r="AB218" s="796"/>
      <c r="AC218" s="819"/>
      <c r="AE218" s="819"/>
      <c r="AF218" s="819"/>
      <c r="AG218" s="819"/>
      <c r="AH218" s="819"/>
      <c r="AI218" s="819"/>
      <c r="AJ218" s="819"/>
      <c r="AK218" s="819"/>
      <c r="AL218" s="819"/>
      <c r="AM218" s="819"/>
      <c r="AN218" s="819"/>
      <c r="AO218" s="819"/>
      <c r="AP218" s="819"/>
      <c r="AQ218" s="819"/>
      <c r="AR218" s="819"/>
      <c r="AS218" s="819"/>
      <c r="AT218" s="819"/>
      <c r="AU218" s="819"/>
      <c r="AV218" s="819"/>
      <c r="AW218" s="819"/>
      <c r="AX218" s="819"/>
      <c r="AY218" s="819"/>
      <c r="AZ218" s="819"/>
      <c r="BA218" s="819"/>
    </row>
    <row r="219" spans="1:53" ht="14.1" customHeight="1" thickBot="1">
      <c r="A219" s="819"/>
      <c r="B219" s="814"/>
      <c r="C219" s="814"/>
      <c r="D219" s="789" t="s">
        <v>1499</v>
      </c>
      <c r="E219" s="789"/>
      <c r="F219" s="789"/>
      <c r="G219" s="801"/>
      <c r="H219" s="796"/>
      <c r="I219" s="796"/>
      <c r="J219" s="796"/>
      <c r="K219" s="796"/>
      <c r="L219" s="796"/>
      <c r="M219" s="796"/>
      <c r="N219" s="796"/>
      <c r="O219" s="796"/>
      <c r="P219" s="814"/>
      <c r="Q219" s="814"/>
      <c r="R219" s="814"/>
      <c r="S219" s="789" t="s">
        <v>1499</v>
      </c>
      <c r="T219" s="789"/>
      <c r="U219" s="789"/>
      <c r="V219" s="801"/>
      <c r="W219" s="796"/>
      <c r="X219" s="796"/>
      <c r="Y219" s="796"/>
      <c r="Z219" s="796"/>
      <c r="AA219" s="796"/>
      <c r="AB219" s="796"/>
      <c r="AC219" s="819"/>
      <c r="AE219" s="819"/>
      <c r="AF219" s="819"/>
      <c r="AG219" s="819"/>
      <c r="AH219" s="819"/>
      <c r="AI219" s="819"/>
      <c r="AJ219" s="819"/>
      <c r="AK219" s="819"/>
      <c r="AL219" s="819"/>
      <c r="AM219" s="819"/>
      <c r="AN219" s="819"/>
      <c r="AO219" s="819"/>
      <c r="AP219" s="819"/>
      <c r="AQ219" s="819"/>
      <c r="AR219" s="819"/>
      <c r="AS219" s="819"/>
      <c r="AT219" s="819"/>
      <c r="AU219" s="819"/>
      <c r="AV219" s="819"/>
      <c r="AW219" s="819"/>
      <c r="AX219" s="819"/>
      <c r="AY219" s="819"/>
      <c r="AZ219" s="819"/>
      <c r="BA219" s="819"/>
    </row>
    <row r="220" spans="1:53" ht="14.1" customHeight="1" thickTop="1" thickBot="1">
      <c r="A220" s="819"/>
      <c r="B220" s="796"/>
      <c r="C220" s="796"/>
      <c r="D220" s="802"/>
      <c r="E220" s="2017" t="s">
        <v>69</v>
      </c>
      <c r="F220" s="803"/>
      <c r="G220" s="804"/>
      <c r="H220" s="805"/>
      <c r="I220" s="802"/>
      <c r="J220" s="2108" t="s">
        <v>1473</v>
      </c>
      <c r="K220" s="802"/>
      <c r="L220" s="796"/>
      <c r="M220" s="796"/>
      <c r="N220" s="796"/>
      <c r="O220" s="796"/>
      <c r="P220" s="814"/>
      <c r="Q220" s="796"/>
      <c r="R220" s="796"/>
      <c r="S220" s="802"/>
      <c r="T220" s="2017" t="s">
        <v>69</v>
      </c>
      <c r="U220" s="803"/>
      <c r="V220" s="804"/>
      <c r="W220" s="805"/>
      <c r="X220" s="802"/>
      <c r="Y220" s="2108" t="s">
        <v>1473</v>
      </c>
      <c r="Z220" s="802"/>
      <c r="AA220" s="796"/>
      <c r="AB220" s="796"/>
      <c r="AC220" s="819"/>
      <c r="AE220" s="819"/>
      <c r="AF220" s="819"/>
      <c r="AG220" s="819"/>
      <c r="AH220" s="819"/>
      <c r="AI220" s="819"/>
      <c r="AJ220" s="819"/>
      <c r="AK220" s="819"/>
      <c r="AL220" s="819"/>
      <c r="AM220" s="819"/>
      <c r="AN220" s="819"/>
      <c r="AO220" s="819"/>
      <c r="AP220" s="819"/>
      <c r="AQ220" s="819"/>
      <c r="AR220" s="819"/>
      <c r="AS220" s="819"/>
      <c r="AT220" s="819"/>
      <c r="AU220" s="819"/>
      <c r="AV220" s="819"/>
      <c r="AW220" s="819"/>
      <c r="AX220" s="819"/>
      <c r="AY220" s="819"/>
      <c r="AZ220" s="819"/>
      <c r="BA220" s="819"/>
    </row>
    <row r="221" spans="1:53" ht="14.1" customHeight="1" thickTop="1" thickBot="1">
      <c r="A221" s="819"/>
      <c r="B221" s="796"/>
      <c r="C221" s="796"/>
      <c r="D221" s="806"/>
      <c r="E221" s="2018"/>
      <c r="F221" s="796"/>
      <c r="G221" s="796"/>
      <c r="H221" s="796"/>
      <c r="I221" s="796"/>
      <c r="J221" s="2109"/>
      <c r="K221" s="792"/>
      <c r="L221" s="796"/>
      <c r="M221" s="796"/>
      <c r="N221" s="796"/>
      <c r="O221" s="796"/>
      <c r="P221" s="814"/>
      <c r="Q221" s="796"/>
      <c r="R221" s="796"/>
      <c r="S221" s="806"/>
      <c r="T221" s="2018"/>
      <c r="U221" s="796"/>
      <c r="V221" s="796"/>
      <c r="W221" s="796"/>
      <c r="X221" s="796"/>
      <c r="Y221" s="2109"/>
      <c r="Z221" s="792"/>
      <c r="AA221" s="796"/>
      <c r="AB221" s="796"/>
      <c r="AC221" s="819"/>
      <c r="AE221" s="819"/>
      <c r="AF221" s="819"/>
      <c r="AG221" s="819"/>
      <c r="AH221" s="819"/>
      <c r="AI221" s="819"/>
      <c r="AJ221" s="819"/>
      <c r="AK221" s="819"/>
      <c r="AL221" s="819"/>
      <c r="AM221" s="819"/>
      <c r="AN221" s="819"/>
      <c r="AO221" s="819"/>
      <c r="AP221" s="819"/>
      <c r="AQ221" s="819"/>
      <c r="AR221" s="819"/>
      <c r="AS221" s="819"/>
      <c r="AT221" s="819"/>
      <c r="AU221" s="819"/>
      <c r="AV221" s="819"/>
      <c r="AW221" s="819"/>
      <c r="AX221" s="819"/>
      <c r="AY221" s="819"/>
      <c r="AZ221" s="819"/>
      <c r="BA221" s="819"/>
    </row>
    <row r="222" spans="1:53" ht="14.1" customHeight="1" thickTop="1" thickBot="1">
      <c r="A222" s="2103" t="s">
        <v>349</v>
      </c>
      <c r="B222" s="2114" t="s">
        <v>334</v>
      </c>
      <c r="C222" s="2118"/>
      <c r="D222" s="814"/>
      <c r="E222" s="814"/>
      <c r="F222" s="796"/>
      <c r="G222" s="796"/>
      <c r="H222" s="796"/>
      <c r="I222" s="796"/>
      <c r="J222" s="796"/>
      <c r="K222" s="801"/>
      <c r="L222" s="2116" t="s">
        <v>341</v>
      </c>
      <c r="M222" s="2117"/>
      <c r="N222" s="2119" t="s">
        <v>1500</v>
      </c>
      <c r="O222" s="2119"/>
      <c r="P222" s="2103" t="s">
        <v>349</v>
      </c>
      <c r="Q222" s="2114" t="s">
        <v>334</v>
      </c>
      <c r="R222" s="2118"/>
      <c r="S222" s="814"/>
      <c r="T222" s="814"/>
      <c r="U222" s="796"/>
      <c r="V222" s="796"/>
      <c r="W222" s="796"/>
      <c r="X222" s="796"/>
      <c r="Y222" s="796"/>
      <c r="Z222" s="801"/>
      <c r="AA222" s="2113" t="s">
        <v>341</v>
      </c>
      <c r="AB222" s="2114"/>
      <c r="AC222" s="819"/>
      <c r="AE222" s="819"/>
      <c r="AF222" s="819"/>
      <c r="AG222" s="819"/>
      <c r="AH222" s="819"/>
      <c r="AI222" s="819"/>
      <c r="AJ222" s="819"/>
      <c r="AK222" s="819"/>
      <c r="AL222" s="819"/>
      <c r="AM222" s="819"/>
      <c r="AN222" s="819"/>
      <c r="AO222" s="819"/>
      <c r="AP222" s="819"/>
      <c r="AQ222" s="819"/>
      <c r="AR222" s="819"/>
      <c r="AS222" s="819"/>
      <c r="AT222" s="819"/>
      <c r="AU222" s="819"/>
      <c r="AV222" s="819"/>
      <c r="AW222" s="819"/>
      <c r="AX222" s="819"/>
      <c r="AY222" s="819"/>
      <c r="AZ222" s="819"/>
      <c r="BA222" s="819"/>
    </row>
    <row r="223" spans="1:53" ht="14.1" customHeight="1" thickTop="1" thickBot="1">
      <c r="A223" s="2103"/>
      <c r="B223" s="807"/>
      <c r="C223" s="792"/>
      <c r="D223" s="796"/>
      <c r="E223" s="796"/>
      <c r="F223" s="796"/>
      <c r="G223" s="796"/>
      <c r="H223" s="796"/>
      <c r="I223" s="796"/>
      <c r="J223" s="796"/>
      <c r="K223" s="801"/>
      <c r="L223" s="2110" t="s">
        <v>1501</v>
      </c>
      <c r="M223" s="2110"/>
      <c r="N223" s="2119"/>
      <c r="O223" s="2119"/>
      <c r="P223" s="2103"/>
      <c r="Q223" s="807"/>
      <c r="R223" s="792"/>
      <c r="S223" s="796"/>
      <c r="T223" s="796"/>
      <c r="U223" s="796"/>
      <c r="V223" s="796"/>
      <c r="W223" s="796"/>
      <c r="X223" s="796"/>
      <c r="Y223" s="796"/>
      <c r="Z223" s="801"/>
      <c r="AA223" s="795"/>
      <c r="AB223" s="794"/>
      <c r="AC223" s="819"/>
      <c r="AE223" s="819"/>
      <c r="AF223" s="819"/>
      <c r="AG223" s="819"/>
      <c r="AH223" s="819"/>
      <c r="AI223" s="819"/>
      <c r="AJ223" s="819"/>
      <c r="AK223" s="819"/>
      <c r="AL223" s="819"/>
      <c r="AM223" s="819"/>
      <c r="AN223" s="819"/>
      <c r="AO223" s="819"/>
      <c r="AP223" s="819"/>
      <c r="AQ223" s="819"/>
      <c r="AR223" s="819"/>
      <c r="AS223" s="819"/>
      <c r="AT223" s="819"/>
      <c r="AU223" s="819"/>
      <c r="AV223" s="819"/>
      <c r="AW223" s="819"/>
      <c r="AX223" s="819"/>
      <c r="AY223" s="819"/>
      <c r="AZ223" s="819"/>
      <c r="BA223" s="819"/>
    </row>
    <row r="224" spans="1:53" ht="14.1" customHeight="1" thickTop="1" thickBot="1">
      <c r="A224" s="819"/>
      <c r="B224" s="796"/>
      <c r="C224" s="801"/>
      <c r="D224" s="808"/>
      <c r="E224" s="2022" t="s">
        <v>1478</v>
      </c>
      <c r="F224" s="809"/>
      <c r="G224" s="809"/>
      <c r="H224" s="809"/>
      <c r="I224" s="809"/>
      <c r="J224" s="2108" t="s">
        <v>1475</v>
      </c>
      <c r="K224" s="793"/>
      <c r="L224" s="2111"/>
      <c r="M224" s="2111"/>
      <c r="N224" s="796"/>
      <c r="O224" s="796"/>
      <c r="P224" s="794"/>
      <c r="Q224" s="796"/>
      <c r="R224" s="801"/>
      <c r="S224" s="808"/>
      <c r="T224" s="2022" t="s">
        <v>1478</v>
      </c>
      <c r="U224" s="809"/>
      <c r="V224" s="809"/>
      <c r="W224" s="809"/>
      <c r="X224" s="809"/>
      <c r="Y224" s="2022" t="s">
        <v>1475</v>
      </c>
      <c r="Z224" s="793"/>
      <c r="AA224" s="796"/>
      <c r="AB224" s="796"/>
      <c r="AC224" s="819"/>
      <c r="AE224" s="819"/>
      <c r="AF224" s="819"/>
      <c r="AG224" s="819"/>
      <c r="AH224" s="819"/>
      <c r="AI224" s="819"/>
      <c r="AJ224" s="819"/>
      <c r="AK224" s="819"/>
      <c r="AL224" s="819"/>
      <c r="AM224" s="819"/>
      <c r="AN224" s="819"/>
      <c r="AO224" s="819"/>
      <c r="AP224" s="819"/>
      <c r="AQ224" s="819"/>
      <c r="AR224" s="819"/>
      <c r="AS224" s="819"/>
      <c r="AT224" s="819"/>
      <c r="AU224" s="819"/>
      <c r="AV224" s="819"/>
      <c r="AW224" s="819"/>
      <c r="AX224" s="819"/>
      <c r="AY224" s="819"/>
      <c r="AZ224" s="819"/>
      <c r="BA224" s="819"/>
    </row>
    <row r="225" spans="1:53" ht="14.1" customHeight="1" thickTop="1" thickBot="1">
      <c r="A225" s="819"/>
      <c r="B225" s="796"/>
      <c r="C225" s="796"/>
      <c r="D225" s="796"/>
      <c r="E225" s="2023"/>
      <c r="F225" s="796"/>
      <c r="G225" s="801"/>
      <c r="H225" s="796"/>
      <c r="I225" s="796"/>
      <c r="J225" s="2109"/>
      <c r="K225" s="796"/>
      <c r="L225" s="2111"/>
      <c r="M225" s="2111"/>
      <c r="N225" s="796"/>
      <c r="O225" s="796"/>
      <c r="P225" s="796"/>
      <c r="Q225" s="796"/>
      <c r="R225" s="796"/>
      <c r="S225" s="796"/>
      <c r="T225" s="2023"/>
      <c r="U225" s="796"/>
      <c r="V225" s="801"/>
      <c r="W225" s="796"/>
      <c r="X225" s="796"/>
      <c r="Y225" s="2023"/>
      <c r="Z225" s="796"/>
      <c r="AA225" s="796"/>
      <c r="AB225" s="796"/>
      <c r="AC225" s="819"/>
      <c r="AE225" s="819"/>
      <c r="AF225" s="819"/>
      <c r="AG225" s="819"/>
      <c r="AH225" s="819"/>
      <c r="AI225" s="819"/>
      <c r="AJ225" s="819"/>
      <c r="AK225" s="819"/>
      <c r="AL225" s="819"/>
      <c r="AM225" s="819"/>
      <c r="AN225" s="819"/>
      <c r="AO225" s="819"/>
      <c r="AP225" s="819"/>
      <c r="AQ225" s="819"/>
      <c r="AR225" s="819"/>
      <c r="AS225" s="819"/>
      <c r="AT225" s="819"/>
      <c r="AU225" s="819"/>
      <c r="AV225" s="819"/>
      <c r="AW225" s="819"/>
      <c r="AX225" s="819"/>
      <c r="AY225" s="819"/>
      <c r="AZ225" s="819"/>
      <c r="BA225" s="819"/>
    </row>
    <row r="226" spans="1:53" ht="14.1" customHeight="1">
      <c r="A226" s="819"/>
      <c r="B226" s="796"/>
      <c r="C226" s="796"/>
      <c r="D226" s="796"/>
      <c r="E226" s="796"/>
      <c r="F226" s="796"/>
      <c r="G226" s="801"/>
      <c r="H226" s="796"/>
      <c r="I226" s="796"/>
      <c r="J226" s="796"/>
      <c r="K226" s="796"/>
      <c r="L226" s="2111"/>
      <c r="M226" s="2111"/>
      <c r="N226" s="796"/>
      <c r="O226" s="796"/>
      <c r="P226" s="796"/>
      <c r="Q226" s="796"/>
      <c r="R226" s="796"/>
      <c r="S226" s="796"/>
      <c r="T226" s="796"/>
      <c r="U226" s="796"/>
      <c r="V226" s="801"/>
      <c r="W226" s="796"/>
      <c r="X226" s="2112" t="s">
        <v>1502</v>
      </c>
      <c r="Y226" s="2112"/>
      <c r="Z226" s="2112"/>
      <c r="AA226" s="796"/>
      <c r="AB226" s="796"/>
      <c r="AC226" s="819"/>
      <c r="AE226" s="819"/>
      <c r="AF226" s="819"/>
      <c r="AG226" s="819"/>
      <c r="AH226" s="819"/>
      <c r="AI226" s="819"/>
      <c r="AJ226" s="819"/>
      <c r="AK226" s="819"/>
      <c r="AL226" s="819"/>
      <c r="AM226" s="819"/>
      <c r="AN226" s="819"/>
      <c r="AO226" s="819"/>
      <c r="AP226" s="819"/>
      <c r="AQ226" s="819"/>
      <c r="AR226" s="819"/>
      <c r="AS226" s="819"/>
      <c r="AT226" s="819"/>
      <c r="AU226" s="819"/>
      <c r="AV226" s="819"/>
      <c r="AW226" s="819"/>
      <c r="AX226" s="819"/>
      <c r="AY226" s="819"/>
      <c r="AZ226" s="819"/>
      <c r="BA226" s="819"/>
    </row>
    <row r="227" spans="1:53" ht="14.1" customHeight="1">
      <c r="A227" s="819"/>
      <c r="B227" s="796"/>
      <c r="C227" s="796"/>
      <c r="D227" s="796"/>
      <c r="E227" s="796"/>
      <c r="F227" s="796"/>
      <c r="G227" s="810"/>
      <c r="H227" s="811"/>
      <c r="I227" s="796"/>
      <c r="J227" s="796"/>
      <c r="K227" s="796"/>
      <c r="L227" s="796"/>
      <c r="M227" s="796"/>
      <c r="N227" s="796"/>
      <c r="O227" s="796"/>
      <c r="P227" s="796"/>
      <c r="Q227" s="796"/>
      <c r="R227" s="796"/>
      <c r="S227" s="796"/>
      <c r="T227" s="796"/>
      <c r="U227" s="796"/>
      <c r="V227" s="810"/>
      <c r="W227" s="811"/>
      <c r="X227" s="2112"/>
      <c r="Y227" s="2112"/>
      <c r="Z227" s="2112"/>
      <c r="AA227" s="796"/>
      <c r="AB227" s="796"/>
      <c r="AC227" s="819"/>
      <c r="AE227" s="819"/>
      <c r="AF227" s="819"/>
      <c r="AG227" s="819"/>
      <c r="AH227" s="819"/>
      <c r="AI227" s="819"/>
      <c r="AJ227" s="819"/>
      <c r="AK227" s="819"/>
      <c r="AL227" s="819"/>
      <c r="AM227" s="819"/>
      <c r="AN227" s="819"/>
      <c r="AO227" s="819"/>
      <c r="AP227" s="819"/>
      <c r="AQ227" s="819"/>
      <c r="AR227" s="819"/>
      <c r="AS227" s="819"/>
      <c r="AT227" s="819"/>
      <c r="AU227" s="819"/>
      <c r="AV227" s="819"/>
      <c r="AW227" s="819"/>
      <c r="AX227" s="819"/>
      <c r="AY227" s="819"/>
      <c r="AZ227" s="819"/>
      <c r="BA227" s="819"/>
    </row>
    <row r="228" spans="1:53" ht="14.1" customHeight="1">
      <c r="A228" s="819"/>
      <c r="B228" s="813"/>
      <c r="C228" s="796"/>
      <c r="D228" s="796"/>
      <c r="E228" s="796"/>
      <c r="F228" s="796"/>
      <c r="G228" s="2115" t="s">
        <v>338</v>
      </c>
      <c r="H228" s="2115"/>
      <c r="I228" s="796"/>
      <c r="J228" s="796"/>
      <c r="K228" s="796"/>
      <c r="L228" s="796"/>
      <c r="M228" s="796"/>
      <c r="N228" s="796"/>
      <c r="O228" s="796"/>
      <c r="P228" s="813"/>
      <c r="Q228" s="813"/>
      <c r="R228" s="796"/>
      <c r="S228" s="796"/>
      <c r="T228" s="796"/>
      <c r="U228" s="796"/>
      <c r="V228" s="2115" t="s">
        <v>338</v>
      </c>
      <c r="W228" s="2115"/>
      <c r="X228" s="2112"/>
      <c r="Y228" s="2112"/>
      <c r="Z228" s="2112"/>
      <c r="AA228" s="796"/>
      <c r="AB228" s="796"/>
      <c r="AC228" s="819"/>
      <c r="AE228" s="819"/>
      <c r="AF228" s="819"/>
      <c r="AG228" s="819"/>
      <c r="AH228" s="819"/>
      <c r="AI228" s="819"/>
      <c r="AJ228" s="819"/>
      <c r="AK228" s="819"/>
      <c r="AL228" s="819"/>
      <c r="AM228" s="819"/>
      <c r="AN228" s="819"/>
      <c r="AO228" s="819"/>
      <c r="AP228" s="819"/>
      <c r="AQ228" s="819"/>
      <c r="AR228" s="819"/>
      <c r="AS228" s="819"/>
      <c r="AT228" s="819"/>
      <c r="AU228" s="819"/>
      <c r="AV228" s="819"/>
      <c r="AW228" s="819"/>
      <c r="AX228" s="819"/>
      <c r="AY228" s="819"/>
      <c r="AZ228" s="819"/>
      <c r="BA228" s="819"/>
    </row>
    <row r="229" spans="1:53" ht="14.1" customHeight="1">
      <c r="A229" s="819"/>
      <c r="B229" s="813"/>
      <c r="C229" s="813"/>
      <c r="D229" s="796"/>
      <c r="E229" s="796"/>
      <c r="F229" s="796"/>
      <c r="G229" s="796"/>
      <c r="H229" s="815"/>
      <c r="I229" s="815"/>
      <c r="J229" s="796"/>
      <c r="K229" s="796"/>
      <c r="L229" s="796"/>
      <c r="M229" s="796"/>
      <c r="N229" s="796"/>
      <c r="O229" s="796"/>
      <c r="P229" s="796"/>
      <c r="Q229" s="796"/>
      <c r="R229" s="813"/>
      <c r="S229" s="813"/>
      <c r="T229" s="796"/>
      <c r="U229" s="796"/>
      <c r="V229" s="811"/>
      <c r="W229" s="811"/>
      <c r="X229" s="811"/>
      <c r="Y229" s="811"/>
      <c r="Z229" s="796"/>
      <c r="AA229" s="796"/>
      <c r="AB229" s="796"/>
      <c r="AC229" s="819"/>
      <c r="AE229" s="819"/>
      <c r="AF229" s="819"/>
      <c r="AG229" s="819"/>
      <c r="AH229" s="819"/>
      <c r="AI229" s="819"/>
      <c r="AJ229" s="819"/>
      <c r="AK229" s="819"/>
      <c r="AL229" s="819"/>
      <c r="AM229" s="819"/>
      <c r="AN229" s="819"/>
      <c r="AO229" s="819"/>
      <c r="AP229" s="819"/>
      <c r="AQ229" s="819"/>
      <c r="AR229" s="819"/>
      <c r="AS229" s="819"/>
      <c r="AT229" s="819"/>
      <c r="AU229" s="819"/>
      <c r="AV229" s="819"/>
      <c r="AW229" s="819"/>
      <c r="AX229" s="819"/>
      <c r="AY229" s="819"/>
      <c r="AZ229" s="819"/>
      <c r="BA229" s="819"/>
    </row>
    <row r="230" spans="1:53" ht="14.1" customHeight="1">
      <c r="A230" s="819"/>
      <c r="B230" s="819"/>
      <c r="C230" s="2104" t="s">
        <v>1485</v>
      </c>
      <c r="D230" s="2105"/>
      <c r="E230" s="1401"/>
      <c r="F230" s="1401"/>
      <c r="G230" s="1401"/>
      <c r="H230" s="1401"/>
      <c r="I230" s="1401"/>
      <c r="J230" s="1401"/>
      <c r="K230" s="1401"/>
      <c r="L230" s="1401"/>
      <c r="M230" s="1401"/>
      <c r="N230" s="1401"/>
      <c r="O230" s="1401"/>
      <c r="P230" s="1401"/>
      <c r="Q230" s="1401"/>
      <c r="R230" s="1401"/>
      <c r="S230" s="1401"/>
      <c r="T230" s="1401"/>
      <c r="U230" s="1401"/>
      <c r="V230" s="1401"/>
      <c r="W230" s="1401"/>
      <c r="X230" s="1401"/>
      <c r="Y230" s="1401"/>
      <c r="Z230" s="1401"/>
      <c r="AA230" s="1401"/>
      <c r="AB230" s="1401"/>
      <c r="AC230" s="819"/>
      <c r="AE230" s="819"/>
      <c r="AF230" s="819"/>
      <c r="AG230" s="819"/>
      <c r="AH230" s="819"/>
      <c r="AI230" s="819"/>
      <c r="AJ230" s="819"/>
      <c r="AK230" s="819"/>
      <c r="AL230" s="819"/>
      <c r="AM230" s="819"/>
      <c r="AN230" s="819"/>
      <c r="AO230" s="819"/>
      <c r="AP230" s="819"/>
      <c r="AQ230" s="819"/>
      <c r="AR230" s="819"/>
      <c r="AS230" s="819"/>
      <c r="AT230" s="819"/>
      <c r="AU230" s="819"/>
      <c r="AV230" s="819"/>
      <c r="AW230" s="819"/>
      <c r="AX230" s="819"/>
      <c r="AY230" s="819"/>
      <c r="AZ230" s="819"/>
      <c r="BA230" s="819"/>
    </row>
    <row r="231" spans="1:53" ht="14.1" customHeight="1">
      <c r="A231" s="819"/>
      <c r="B231" s="819"/>
      <c r="C231" s="819"/>
      <c r="D231" s="2093" t="s">
        <v>1503</v>
      </c>
      <c r="E231" s="2093"/>
      <c r="F231" s="2093"/>
      <c r="G231" s="2093"/>
      <c r="H231" s="2093"/>
      <c r="I231" s="2093"/>
      <c r="J231" s="2093"/>
      <c r="K231" s="2093"/>
      <c r="L231" s="2093"/>
      <c r="M231" s="2093"/>
      <c r="N231" s="2093"/>
      <c r="O231" s="2093"/>
      <c r="P231" s="2093"/>
      <c r="Q231" s="2093"/>
      <c r="R231" s="2093"/>
      <c r="S231" s="2093"/>
      <c r="T231" s="2093"/>
      <c r="U231" s="2093"/>
      <c r="V231" s="2093"/>
      <c r="W231" s="2093"/>
      <c r="X231" s="2093"/>
      <c r="Y231" s="2093"/>
      <c r="Z231" s="2093"/>
      <c r="AA231" s="2093"/>
      <c r="AB231" s="2093"/>
      <c r="AC231" s="2093"/>
      <c r="AE231" s="819"/>
      <c r="AF231" s="819"/>
      <c r="AG231" s="819"/>
      <c r="AH231" s="819"/>
      <c r="AI231" s="819"/>
      <c r="AJ231" s="819"/>
      <c r="AK231" s="819"/>
      <c r="AL231" s="819"/>
      <c r="AM231" s="819"/>
      <c r="AN231" s="819"/>
      <c r="AO231" s="819"/>
      <c r="AP231" s="819"/>
      <c r="AQ231" s="819"/>
      <c r="AR231" s="819"/>
      <c r="AS231" s="819"/>
      <c r="AT231" s="819"/>
      <c r="AU231" s="819"/>
      <c r="AV231" s="819"/>
      <c r="AW231" s="819"/>
      <c r="AX231" s="819"/>
      <c r="AY231" s="819"/>
      <c r="AZ231" s="819"/>
      <c r="BA231" s="819"/>
    </row>
    <row r="232" spans="1:53" ht="14.1" customHeight="1">
      <c r="A232" s="819"/>
      <c r="B232" s="819"/>
      <c r="C232" s="819"/>
      <c r="D232" s="2093"/>
      <c r="E232" s="2093"/>
      <c r="F232" s="2093"/>
      <c r="G232" s="2093"/>
      <c r="H232" s="2093"/>
      <c r="I232" s="2093"/>
      <c r="J232" s="2093"/>
      <c r="K232" s="2093"/>
      <c r="L232" s="2093"/>
      <c r="M232" s="2093"/>
      <c r="N232" s="2093"/>
      <c r="O232" s="2093"/>
      <c r="P232" s="2093"/>
      <c r="Q232" s="2093"/>
      <c r="R232" s="2093"/>
      <c r="S232" s="2093"/>
      <c r="T232" s="2093"/>
      <c r="U232" s="2093"/>
      <c r="V232" s="2093"/>
      <c r="W232" s="2093"/>
      <c r="X232" s="2093"/>
      <c r="Y232" s="2093"/>
      <c r="Z232" s="2093"/>
      <c r="AA232" s="2093"/>
      <c r="AB232" s="2093"/>
      <c r="AC232" s="2093"/>
      <c r="AE232" s="819"/>
      <c r="AF232" s="819"/>
      <c r="AG232" s="819"/>
      <c r="AH232" s="819"/>
      <c r="AI232" s="819"/>
      <c r="AJ232" s="819"/>
      <c r="AK232" s="819"/>
      <c r="AL232" s="819"/>
      <c r="AM232" s="819"/>
      <c r="AN232" s="819"/>
      <c r="AO232" s="819"/>
      <c r="AP232" s="819"/>
      <c r="AQ232" s="819"/>
      <c r="AR232" s="819"/>
      <c r="AS232" s="819"/>
      <c r="AT232" s="819"/>
      <c r="AU232" s="819"/>
      <c r="AV232" s="819"/>
      <c r="AW232" s="819"/>
      <c r="AX232" s="819"/>
      <c r="AY232" s="819"/>
      <c r="AZ232" s="819"/>
      <c r="BA232" s="819"/>
    </row>
    <row r="233" spans="1:53" ht="14.1" customHeight="1">
      <c r="A233" s="819"/>
      <c r="B233" s="819"/>
      <c r="C233" s="819"/>
      <c r="D233" s="2093"/>
      <c r="E233" s="2093"/>
      <c r="F233" s="2093"/>
      <c r="G233" s="2093"/>
      <c r="H233" s="2093"/>
      <c r="I233" s="2093"/>
      <c r="J233" s="2093"/>
      <c r="K233" s="2093"/>
      <c r="L233" s="2093"/>
      <c r="M233" s="2093"/>
      <c r="N233" s="2093"/>
      <c r="O233" s="2093"/>
      <c r="P233" s="2093"/>
      <c r="Q233" s="2093"/>
      <c r="R233" s="2093"/>
      <c r="S233" s="2093"/>
      <c r="T233" s="2093"/>
      <c r="U233" s="2093"/>
      <c r="V233" s="2093"/>
      <c r="W233" s="2093"/>
      <c r="X233" s="2093"/>
      <c r="Y233" s="2093"/>
      <c r="Z233" s="2093"/>
      <c r="AA233" s="2093"/>
      <c r="AB233" s="2093"/>
      <c r="AC233" s="2093"/>
      <c r="AE233" s="819"/>
      <c r="AF233" s="819"/>
      <c r="AG233" s="819"/>
      <c r="AH233" s="819"/>
      <c r="AI233" s="819"/>
      <c r="AJ233" s="819"/>
      <c r="AK233" s="819"/>
      <c r="AL233" s="819"/>
      <c r="AM233" s="819"/>
      <c r="AN233" s="819"/>
      <c r="AO233" s="819"/>
      <c r="AP233" s="819"/>
      <c r="AQ233" s="819"/>
      <c r="AR233" s="819"/>
      <c r="AS233" s="819"/>
      <c r="AT233" s="819"/>
      <c r="AU233" s="819"/>
      <c r="AV233" s="819"/>
      <c r="AW233" s="819"/>
      <c r="AX233" s="819"/>
      <c r="AY233" s="819"/>
      <c r="AZ233" s="819"/>
      <c r="BA233" s="819"/>
    </row>
    <row r="234" spans="1:53" ht="14.1" customHeight="1">
      <c r="A234" s="819"/>
      <c r="B234" s="819"/>
      <c r="C234" s="819"/>
      <c r="D234" s="2093"/>
      <c r="E234" s="2093"/>
      <c r="F234" s="2093"/>
      <c r="G234" s="2093"/>
      <c r="H234" s="2093"/>
      <c r="I234" s="2093"/>
      <c r="J234" s="2093"/>
      <c r="K234" s="2093"/>
      <c r="L234" s="2093"/>
      <c r="M234" s="2093"/>
      <c r="N234" s="2093"/>
      <c r="O234" s="2093"/>
      <c r="P234" s="2093"/>
      <c r="Q234" s="2093"/>
      <c r="R234" s="2093"/>
      <c r="S234" s="2093"/>
      <c r="T234" s="2093"/>
      <c r="U234" s="2093"/>
      <c r="V234" s="2093"/>
      <c r="W234" s="2093"/>
      <c r="X234" s="2093"/>
      <c r="Y234" s="2093"/>
      <c r="Z234" s="2093"/>
      <c r="AA234" s="2093"/>
      <c r="AB234" s="2093"/>
      <c r="AC234" s="2093"/>
      <c r="AE234" s="819"/>
      <c r="AF234" s="819"/>
      <c r="AG234" s="819"/>
      <c r="AH234" s="819"/>
      <c r="AI234" s="819"/>
      <c r="AJ234" s="819"/>
      <c r="AK234" s="819"/>
      <c r="AL234" s="819"/>
      <c r="AM234" s="819"/>
      <c r="AN234" s="819"/>
      <c r="AO234" s="819"/>
      <c r="AP234" s="819"/>
      <c r="AQ234" s="819"/>
      <c r="AR234" s="819"/>
      <c r="AS234" s="819"/>
      <c r="AT234" s="819"/>
      <c r="AU234" s="819"/>
      <c r="AV234" s="819"/>
      <c r="AW234" s="819"/>
      <c r="AX234" s="819"/>
      <c r="AY234" s="819"/>
      <c r="AZ234" s="819"/>
      <c r="BA234" s="819"/>
    </row>
    <row r="235" spans="1:53" ht="14.1" customHeight="1">
      <c r="A235" s="819"/>
      <c r="B235" s="819"/>
      <c r="C235" s="819"/>
      <c r="D235" s="2093"/>
      <c r="E235" s="2093"/>
      <c r="F235" s="2093"/>
      <c r="G235" s="2093"/>
      <c r="H235" s="2093"/>
      <c r="I235" s="2093"/>
      <c r="J235" s="2093"/>
      <c r="K235" s="2093"/>
      <c r="L235" s="2093"/>
      <c r="M235" s="2093"/>
      <c r="N235" s="2093"/>
      <c r="O235" s="2093"/>
      <c r="P235" s="2093"/>
      <c r="Q235" s="2093"/>
      <c r="R235" s="2093"/>
      <c r="S235" s="2093"/>
      <c r="T235" s="2093"/>
      <c r="U235" s="2093"/>
      <c r="V235" s="2093"/>
      <c r="W235" s="2093"/>
      <c r="X235" s="2093"/>
      <c r="Y235" s="2093"/>
      <c r="Z235" s="2093"/>
      <c r="AA235" s="2093"/>
      <c r="AB235" s="2093"/>
      <c r="AC235" s="2093"/>
      <c r="AE235" s="819"/>
      <c r="AF235" s="819"/>
      <c r="AG235" s="819"/>
      <c r="AH235" s="819"/>
      <c r="AI235" s="819"/>
      <c r="AJ235" s="819"/>
      <c r="AK235" s="819"/>
      <c r="AL235" s="819"/>
      <c r="AM235" s="819"/>
      <c r="AN235" s="819"/>
      <c r="AO235" s="819"/>
      <c r="AP235" s="819"/>
      <c r="AQ235" s="819"/>
      <c r="AR235" s="819"/>
      <c r="AS235" s="819"/>
      <c r="AT235" s="819"/>
      <c r="AU235" s="819"/>
      <c r="AV235" s="819"/>
      <c r="AW235" s="819"/>
      <c r="AX235" s="819"/>
      <c r="AY235" s="819"/>
      <c r="AZ235" s="819"/>
      <c r="BA235" s="819"/>
    </row>
    <row r="236" spans="1:53" ht="14.1" customHeight="1">
      <c r="A236" s="819"/>
      <c r="B236" s="819"/>
      <c r="C236" s="819"/>
      <c r="D236" s="2093"/>
      <c r="E236" s="2093"/>
      <c r="F236" s="2093"/>
      <c r="G236" s="2093"/>
      <c r="H236" s="2093"/>
      <c r="I236" s="2093"/>
      <c r="J236" s="2093"/>
      <c r="K236" s="2093"/>
      <c r="L236" s="2093"/>
      <c r="M236" s="2093"/>
      <c r="N236" s="2093"/>
      <c r="O236" s="2093"/>
      <c r="P236" s="2093"/>
      <c r="Q236" s="2093"/>
      <c r="R236" s="2093"/>
      <c r="S236" s="2093"/>
      <c r="T236" s="2093"/>
      <c r="U236" s="2093"/>
      <c r="V236" s="2093"/>
      <c r="W236" s="2093"/>
      <c r="X236" s="2093"/>
      <c r="Y236" s="2093"/>
      <c r="Z236" s="2093"/>
      <c r="AA236" s="2093"/>
      <c r="AB236" s="2093"/>
      <c r="AC236" s="2093"/>
      <c r="AE236" s="819"/>
      <c r="AF236" s="819"/>
      <c r="AG236" s="819"/>
      <c r="AH236" s="819"/>
      <c r="AI236" s="819"/>
      <c r="AJ236" s="819"/>
      <c r="AK236" s="819"/>
      <c r="AL236" s="819"/>
      <c r="AM236" s="819"/>
      <c r="AN236" s="819"/>
      <c r="AO236" s="819"/>
      <c r="AP236" s="819"/>
      <c r="AQ236" s="819"/>
      <c r="AR236" s="819"/>
      <c r="AS236" s="819"/>
      <c r="AT236" s="819"/>
      <c r="AU236" s="819"/>
      <c r="AV236" s="819"/>
      <c r="AW236" s="819"/>
      <c r="AX236" s="819"/>
      <c r="AY236" s="819"/>
      <c r="AZ236" s="819"/>
      <c r="BA236" s="819"/>
    </row>
    <row r="237" spans="1:53" ht="14.1" customHeight="1">
      <c r="A237" s="819"/>
      <c r="B237" s="819"/>
      <c r="C237" s="819"/>
      <c r="D237" s="2093"/>
      <c r="E237" s="2093"/>
      <c r="F237" s="2093"/>
      <c r="G237" s="2093"/>
      <c r="H237" s="2093"/>
      <c r="I237" s="2093"/>
      <c r="J237" s="2093"/>
      <c r="K237" s="2093"/>
      <c r="L237" s="2093"/>
      <c r="M237" s="2093"/>
      <c r="N237" s="2093"/>
      <c r="O237" s="2093"/>
      <c r="P237" s="2093"/>
      <c r="Q237" s="2093"/>
      <c r="R237" s="2093"/>
      <c r="S237" s="2093"/>
      <c r="T237" s="2093"/>
      <c r="U237" s="2093"/>
      <c r="V237" s="2093"/>
      <c r="W237" s="2093"/>
      <c r="X237" s="2093"/>
      <c r="Y237" s="2093"/>
      <c r="Z237" s="2093"/>
      <c r="AA237" s="2093"/>
      <c r="AB237" s="2093"/>
      <c r="AC237" s="2093"/>
      <c r="AE237" s="819"/>
      <c r="AF237" s="819"/>
      <c r="AG237" s="819"/>
      <c r="AH237" s="819"/>
      <c r="AI237" s="819"/>
      <c r="AJ237" s="819"/>
      <c r="AK237" s="819"/>
      <c r="AL237" s="819"/>
      <c r="AM237" s="819"/>
      <c r="AN237" s="819"/>
      <c r="AO237" s="819"/>
      <c r="AP237" s="819"/>
      <c r="AQ237" s="819"/>
      <c r="AR237" s="819"/>
      <c r="AS237" s="819"/>
      <c r="AT237" s="819"/>
      <c r="AU237" s="819"/>
      <c r="AV237" s="819"/>
      <c r="AW237" s="819"/>
      <c r="AX237" s="819"/>
      <c r="AY237" s="819"/>
      <c r="AZ237" s="819"/>
      <c r="BA237" s="819"/>
    </row>
    <row r="238" spans="1:53" ht="14.1" customHeight="1">
      <c r="A238" s="819"/>
      <c r="B238" s="819"/>
      <c r="C238" s="819"/>
      <c r="D238" s="2093"/>
      <c r="E238" s="2093"/>
      <c r="F238" s="2093"/>
      <c r="G238" s="2093"/>
      <c r="H238" s="2093"/>
      <c r="I238" s="2093"/>
      <c r="J238" s="2093"/>
      <c r="K238" s="2093"/>
      <c r="L238" s="2093"/>
      <c r="M238" s="2093"/>
      <c r="N238" s="2093"/>
      <c r="O238" s="2093"/>
      <c r="P238" s="2093"/>
      <c r="Q238" s="2093"/>
      <c r="R238" s="2093"/>
      <c r="S238" s="2093"/>
      <c r="T238" s="2093"/>
      <c r="U238" s="2093"/>
      <c r="V238" s="2093"/>
      <c r="W238" s="2093"/>
      <c r="X238" s="2093"/>
      <c r="Y238" s="2093"/>
      <c r="Z238" s="2093"/>
      <c r="AA238" s="2093"/>
      <c r="AB238" s="2093"/>
      <c r="AC238" s="2093"/>
      <c r="AE238" s="819"/>
      <c r="AF238" s="819"/>
      <c r="AG238" s="819"/>
      <c r="AH238" s="819"/>
      <c r="AI238" s="819"/>
      <c r="AJ238" s="819"/>
      <c r="AK238" s="819"/>
      <c r="AL238" s="819"/>
      <c r="AM238" s="819"/>
      <c r="AN238" s="819"/>
      <c r="AO238" s="819"/>
      <c r="AP238" s="819"/>
      <c r="AQ238" s="819"/>
      <c r="AR238" s="819"/>
      <c r="AS238" s="819"/>
      <c r="AT238" s="819"/>
      <c r="AU238" s="819"/>
      <c r="AV238" s="819"/>
      <c r="AW238" s="819"/>
      <c r="AX238" s="819"/>
      <c r="AY238" s="819"/>
      <c r="AZ238" s="819"/>
      <c r="BA238" s="819"/>
    </row>
    <row r="239" spans="1:53" ht="13.5" customHeight="1" thickBot="1">
      <c r="B239" s="1323"/>
      <c r="C239" s="1323"/>
      <c r="D239" s="1331"/>
      <c r="E239" s="1331"/>
      <c r="F239" s="1331"/>
      <c r="G239" s="1331"/>
      <c r="H239" s="1331"/>
      <c r="I239" s="1331"/>
      <c r="J239" s="1331"/>
      <c r="K239" s="1331"/>
      <c r="L239" s="1331"/>
      <c r="M239" s="1331"/>
      <c r="N239" s="1331"/>
      <c r="O239" s="1331"/>
      <c r="P239" s="1331"/>
      <c r="Q239" s="1331"/>
      <c r="R239" s="1331"/>
      <c r="S239" s="1331"/>
      <c r="T239" s="1331"/>
      <c r="U239" s="1331"/>
      <c r="V239" s="1331"/>
      <c r="W239" s="1331"/>
      <c r="X239" s="1331"/>
      <c r="Y239" s="1331"/>
      <c r="Z239" s="1331"/>
      <c r="AA239" s="1331"/>
      <c r="AB239" s="1331"/>
      <c r="AC239" s="819"/>
      <c r="AE239" s="819"/>
      <c r="AF239" s="819"/>
      <c r="AG239" s="819"/>
      <c r="AH239" s="819"/>
      <c r="AI239" s="819"/>
      <c r="AJ239" s="819"/>
      <c r="AK239" s="819"/>
      <c r="AL239" s="819"/>
      <c r="AM239" s="819"/>
      <c r="AN239" s="819"/>
      <c r="AO239" s="819"/>
      <c r="AP239" s="819"/>
      <c r="AQ239" s="819"/>
      <c r="AR239" s="819"/>
      <c r="AS239" s="819"/>
      <c r="AT239" s="819"/>
      <c r="AU239" s="819"/>
      <c r="AV239" s="819"/>
      <c r="AW239" s="819"/>
      <c r="AX239" s="819"/>
      <c r="AY239" s="819"/>
      <c r="AZ239" s="819"/>
      <c r="BA239" s="819"/>
    </row>
    <row r="240" spans="1:53" ht="13.5" customHeight="1" thickTop="1">
      <c r="B240" s="819"/>
      <c r="C240" s="819"/>
      <c r="D240" s="1338"/>
      <c r="E240" s="1338"/>
      <c r="F240" s="1338"/>
      <c r="G240" s="1338"/>
      <c r="H240" s="1338"/>
      <c r="I240" s="1338"/>
      <c r="J240" s="1338"/>
      <c r="K240" s="1338"/>
      <c r="L240" s="1338"/>
      <c r="M240" s="1338"/>
      <c r="N240" s="1338"/>
      <c r="O240" s="1338"/>
      <c r="P240" s="1338"/>
      <c r="Q240" s="1338"/>
      <c r="R240" s="1338"/>
      <c r="S240" s="1338"/>
      <c r="T240" s="1338"/>
      <c r="U240" s="1338"/>
      <c r="V240" s="1338"/>
      <c r="W240" s="1338"/>
      <c r="X240" s="1338"/>
      <c r="Y240" s="1338"/>
      <c r="Z240" s="1338"/>
      <c r="AA240" s="1338"/>
      <c r="AB240" s="1338"/>
      <c r="AC240" s="819"/>
      <c r="AE240" s="819"/>
      <c r="AF240" s="819"/>
      <c r="AG240" s="819"/>
      <c r="AH240" s="819"/>
      <c r="AI240" s="819"/>
      <c r="AJ240" s="819"/>
      <c r="AK240" s="819"/>
      <c r="AL240" s="819"/>
      <c r="AM240" s="819"/>
      <c r="AN240" s="819"/>
      <c r="AO240" s="819"/>
      <c r="AP240" s="819"/>
      <c r="AQ240" s="819"/>
      <c r="AR240" s="819"/>
      <c r="AS240" s="819"/>
      <c r="AT240" s="819"/>
      <c r="AU240" s="819"/>
      <c r="AV240" s="819"/>
      <c r="AW240" s="819"/>
      <c r="AX240" s="819"/>
      <c r="AY240" s="819"/>
      <c r="AZ240" s="819"/>
      <c r="BA240" s="819"/>
    </row>
    <row r="241" spans="2:53" ht="13.5" customHeight="1">
      <c r="B241" s="2107" t="s">
        <v>1504</v>
      </c>
      <c r="C241" s="2107"/>
      <c r="D241" s="2107"/>
      <c r="E241" s="2107"/>
      <c r="F241" s="2107"/>
      <c r="G241" s="2107"/>
      <c r="H241" s="2107"/>
      <c r="I241" s="2107"/>
      <c r="J241" s="2107"/>
      <c r="K241" s="2107"/>
      <c r="L241" s="2107"/>
      <c r="M241" s="2107"/>
      <c r="N241" s="2107"/>
      <c r="O241" s="2107"/>
      <c r="P241" s="2107"/>
      <c r="Q241" s="2107"/>
      <c r="R241" s="2107"/>
      <c r="S241" s="2107"/>
      <c r="T241" s="2107"/>
      <c r="U241" s="2107"/>
      <c r="V241" s="2107"/>
      <c r="W241" s="2107"/>
      <c r="X241" s="2107"/>
      <c r="Y241" s="2107"/>
      <c r="Z241" s="2107"/>
      <c r="AA241" s="2107"/>
      <c r="AB241" s="1338"/>
      <c r="AC241" s="819"/>
      <c r="AE241" s="819"/>
      <c r="AF241" s="819"/>
      <c r="AG241" s="819"/>
      <c r="AH241" s="819"/>
      <c r="AI241" s="819"/>
      <c r="AJ241" s="819"/>
      <c r="AK241" s="819"/>
      <c r="AL241" s="819"/>
      <c r="AM241" s="819"/>
      <c r="AN241" s="819"/>
      <c r="AO241" s="819"/>
      <c r="AP241" s="819"/>
      <c r="AQ241" s="819"/>
      <c r="AR241" s="819"/>
      <c r="AS241" s="819"/>
      <c r="AT241" s="819"/>
      <c r="AU241" s="819"/>
      <c r="AV241" s="819"/>
      <c r="AW241" s="819"/>
      <c r="AX241" s="819"/>
      <c r="AY241" s="819"/>
      <c r="AZ241" s="819"/>
      <c r="BA241" s="819"/>
    </row>
    <row r="242" spans="2:53" ht="13.5" customHeight="1">
      <c r="B242" s="2107"/>
      <c r="C242" s="2107"/>
      <c r="D242" s="2107"/>
      <c r="E242" s="2107"/>
      <c r="F242" s="2107"/>
      <c r="G242" s="2107"/>
      <c r="H242" s="2107"/>
      <c r="I242" s="2107"/>
      <c r="J242" s="2107"/>
      <c r="K242" s="2107"/>
      <c r="L242" s="2107"/>
      <c r="M242" s="2107"/>
      <c r="N242" s="2107"/>
      <c r="O242" s="2107"/>
      <c r="P242" s="2107"/>
      <c r="Q242" s="2107"/>
      <c r="R242" s="2107"/>
      <c r="S242" s="2107"/>
      <c r="T242" s="2107"/>
      <c r="U242" s="2107"/>
      <c r="V242" s="2107"/>
      <c r="W242" s="2107"/>
      <c r="X242" s="2107"/>
      <c r="Y242" s="2107"/>
      <c r="Z242" s="2107"/>
      <c r="AA242" s="2107"/>
      <c r="AB242" s="1338"/>
      <c r="AC242" s="819"/>
      <c r="AE242" s="819"/>
      <c r="AF242" s="819"/>
      <c r="AG242" s="819"/>
      <c r="AH242" s="819"/>
      <c r="AI242" s="819"/>
      <c r="AJ242" s="819"/>
      <c r="AK242" s="819"/>
      <c r="AL242" s="819"/>
      <c r="AM242" s="819"/>
      <c r="AN242" s="819"/>
      <c r="AO242" s="819"/>
      <c r="AP242" s="819"/>
      <c r="AQ242" s="819"/>
      <c r="AR242" s="819"/>
      <c r="AS242" s="819"/>
      <c r="AT242" s="819"/>
      <c r="AU242" s="819"/>
      <c r="AV242" s="819"/>
      <c r="AW242" s="819"/>
      <c r="AX242" s="819"/>
      <c r="AY242" s="819"/>
      <c r="AZ242" s="819"/>
      <c r="BA242" s="819"/>
    </row>
    <row r="243" spans="2:53" ht="13.5" customHeight="1">
      <c r="B243" s="796"/>
      <c r="C243" s="796"/>
      <c r="D243" s="796"/>
      <c r="E243" s="796"/>
      <c r="F243" s="796"/>
      <c r="G243" s="2120" t="s">
        <v>276</v>
      </c>
      <c r="H243" s="2120"/>
      <c r="I243" s="2120"/>
      <c r="J243" s="2120"/>
      <c r="K243" s="796"/>
      <c r="L243" s="796"/>
      <c r="M243" s="796"/>
      <c r="N243" s="796"/>
      <c r="O243" s="796"/>
      <c r="P243" s="796"/>
      <c r="Q243" s="796"/>
      <c r="R243" s="796"/>
      <c r="S243" s="796"/>
      <c r="T243" s="796"/>
      <c r="U243" s="796"/>
      <c r="V243" s="796"/>
      <c r="W243" s="796"/>
      <c r="X243" s="796"/>
      <c r="Y243" s="796"/>
      <c r="Z243" s="796"/>
      <c r="AA243" s="1338"/>
      <c r="AB243" s="1338"/>
      <c r="AC243" s="819"/>
      <c r="AE243" s="819"/>
      <c r="AF243" s="819"/>
      <c r="AG243" s="819"/>
      <c r="AH243" s="819"/>
      <c r="AI243" s="819"/>
      <c r="AJ243" s="819"/>
      <c r="AK243" s="819"/>
      <c r="AL243" s="819"/>
      <c r="AM243" s="819"/>
      <c r="AN243" s="819"/>
      <c r="AO243" s="819"/>
      <c r="AP243" s="819"/>
      <c r="AQ243" s="819"/>
      <c r="AR243" s="819"/>
      <c r="AS243" s="819"/>
      <c r="AT243" s="819"/>
      <c r="AU243" s="819"/>
      <c r="AV243" s="819"/>
      <c r="AW243" s="819"/>
      <c r="AX243" s="819"/>
      <c r="AY243" s="819"/>
      <c r="AZ243" s="819"/>
      <c r="BA243" s="819"/>
    </row>
    <row r="244" spans="2:53" ht="13.5" customHeight="1">
      <c r="B244" s="796"/>
      <c r="C244" s="796"/>
      <c r="D244" s="796"/>
      <c r="E244" s="796"/>
      <c r="F244" s="796"/>
      <c r="G244" s="796"/>
      <c r="H244" s="2106" t="s">
        <v>1505</v>
      </c>
      <c r="I244" s="2106"/>
      <c r="J244" s="796"/>
      <c r="K244" s="796"/>
      <c r="L244" s="796"/>
      <c r="M244" s="796"/>
      <c r="N244" s="796"/>
      <c r="O244" s="796"/>
      <c r="P244" s="796"/>
      <c r="Q244" s="796"/>
      <c r="R244" s="796"/>
      <c r="S244" s="796"/>
      <c r="T244" s="796"/>
      <c r="U244" s="796"/>
      <c r="V244" s="796"/>
      <c r="W244" s="796"/>
      <c r="X244" s="796"/>
      <c r="Y244" s="796"/>
      <c r="Z244" s="796"/>
      <c r="AA244" s="1338"/>
      <c r="AB244" s="1338"/>
      <c r="AC244" s="819"/>
      <c r="AE244" s="819"/>
      <c r="AF244" s="819"/>
      <c r="AG244" s="819"/>
      <c r="AH244" s="819"/>
      <c r="AI244" s="819"/>
      <c r="AJ244" s="819"/>
      <c r="AK244" s="819"/>
      <c r="AL244" s="819"/>
      <c r="AM244" s="819"/>
      <c r="AN244" s="819"/>
      <c r="AO244" s="819"/>
      <c r="AP244" s="819"/>
      <c r="AQ244" s="819"/>
      <c r="AR244" s="819"/>
      <c r="AS244" s="819"/>
      <c r="AT244" s="819"/>
      <c r="AU244" s="819"/>
      <c r="AV244" s="819"/>
      <c r="AW244" s="819"/>
      <c r="AX244" s="819"/>
      <c r="AY244" s="819"/>
      <c r="AZ244" s="819"/>
      <c r="BA244" s="819"/>
    </row>
    <row r="245" spans="2:53" ht="13.5" customHeight="1">
      <c r="B245" s="796"/>
      <c r="C245" s="796"/>
      <c r="D245" s="796"/>
      <c r="E245" s="796"/>
      <c r="F245" s="796"/>
      <c r="G245" s="796"/>
      <c r="H245" s="2103" t="s">
        <v>349</v>
      </c>
      <c r="I245" s="2103"/>
      <c r="J245" s="796"/>
      <c r="K245" s="796"/>
      <c r="L245" s="2120" t="s">
        <v>277</v>
      </c>
      <c r="M245" s="2120"/>
      <c r="N245" s="2120"/>
      <c r="O245" s="2120"/>
      <c r="P245" s="796"/>
      <c r="Q245" s="813"/>
      <c r="R245" s="813"/>
      <c r="S245" s="796"/>
      <c r="T245" s="796"/>
      <c r="U245" s="796"/>
      <c r="V245" s="796"/>
      <c r="W245" s="796"/>
      <c r="X245" s="796"/>
      <c r="Y245" s="796"/>
      <c r="Z245" s="796"/>
      <c r="AA245" s="1338"/>
      <c r="AB245" s="1338"/>
      <c r="AC245" s="819"/>
      <c r="AE245" s="819"/>
      <c r="AF245" s="819"/>
      <c r="AG245" s="819"/>
      <c r="AH245" s="819"/>
      <c r="AI245" s="819"/>
      <c r="AJ245" s="819"/>
      <c r="AK245" s="819"/>
      <c r="AL245" s="819"/>
      <c r="AM245" s="819"/>
      <c r="AN245" s="819"/>
      <c r="AO245" s="819"/>
      <c r="AP245" s="819"/>
      <c r="AQ245" s="819"/>
      <c r="AR245" s="819"/>
      <c r="AS245" s="819"/>
      <c r="AT245" s="819"/>
      <c r="AU245" s="819"/>
      <c r="AV245" s="819"/>
      <c r="AW245" s="819"/>
      <c r="AX245" s="819"/>
      <c r="AY245" s="819"/>
      <c r="AZ245" s="819"/>
      <c r="BA245" s="819"/>
    </row>
    <row r="246" spans="2:53" ht="13.5" customHeight="1">
      <c r="B246" s="796"/>
      <c r="C246" s="796"/>
      <c r="D246" s="796"/>
      <c r="E246" s="796"/>
      <c r="F246" s="796"/>
      <c r="G246" s="796"/>
      <c r="H246" s="2103"/>
      <c r="I246" s="2103"/>
      <c r="J246" s="796"/>
      <c r="K246" s="796"/>
      <c r="L246" s="796"/>
      <c r="M246" s="811" t="s">
        <v>1506</v>
      </c>
      <c r="N246" s="796"/>
      <c r="O246" s="796"/>
      <c r="P246" s="796"/>
      <c r="Q246" s="813"/>
      <c r="R246" s="813"/>
      <c r="S246" s="796"/>
      <c r="T246" s="796"/>
      <c r="U246" s="796"/>
      <c r="V246" s="796"/>
      <c r="W246" s="796"/>
      <c r="X246" s="796"/>
      <c r="Y246" s="796"/>
      <c r="Z246" s="796"/>
      <c r="AA246" s="1338"/>
      <c r="AB246" s="1338"/>
      <c r="AC246" s="819"/>
      <c r="AE246" s="819"/>
      <c r="AF246" s="819"/>
      <c r="AG246" s="819"/>
      <c r="AH246" s="819"/>
      <c r="AI246" s="819"/>
      <c r="AJ246" s="819"/>
      <c r="AK246" s="819"/>
      <c r="AL246" s="819"/>
      <c r="AM246" s="819"/>
      <c r="AN246" s="819"/>
      <c r="AO246" s="819"/>
      <c r="AP246" s="819"/>
      <c r="AQ246" s="819"/>
      <c r="AR246" s="819"/>
      <c r="AS246" s="819"/>
      <c r="AT246" s="819"/>
      <c r="AU246" s="819"/>
      <c r="AV246" s="819"/>
      <c r="AW246" s="819"/>
      <c r="AX246" s="819"/>
      <c r="AY246" s="819"/>
      <c r="AZ246" s="819"/>
      <c r="BA246" s="819"/>
    </row>
    <row r="247" spans="2:53" ht="13.5" customHeight="1">
      <c r="B247" s="814"/>
      <c r="C247" s="814"/>
      <c r="D247" s="814"/>
      <c r="E247" s="796"/>
      <c r="F247" s="796"/>
      <c r="G247" s="796"/>
      <c r="H247" s="810"/>
      <c r="I247" s="811"/>
      <c r="J247" s="796"/>
      <c r="K247" s="796"/>
      <c r="L247" s="796"/>
      <c r="M247" s="810"/>
      <c r="N247" s="811"/>
      <c r="O247" s="796"/>
      <c r="P247" s="796"/>
      <c r="Q247" s="811"/>
      <c r="R247" s="796"/>
      <c r="S247" s="796"/>
      <c r="T247" s="796"/>
      <c r="U247" s="796"/>
      <c r="V247" s="796"/>
      <c r="W247" s="796"/>
      <c r="X247" s="796"/>
      <c r="Y247" s="796"/>
      <c r="Z247" s="796"/>
      <c r="AA247" s="1338"/>
      <c r="AB247" s="1338"/>
      <c r="AC247" s="819"/>
      <c r="AE247" s="819"/>
      <c r="AF247" s="819"/>
      <c r="AG247" s="819"/>
      <c r="AH247" s="819"/>
      <c r="AI247" s="819"/>
      <c r="AJ247" s="819"/>
      <c r="AK247" s="819"/>
      <c r="AL247" s="819"/>
      <c r="AM247" s="819"/>
      <c r="AN247" s="819"/>
      <c r="AO247" s="819"/>
      <c r="AP247" s="819"/>
      <c r="AQ247" s="819"/>
      <c r="AR247" s="819"/>
      <c r="AS247" s="819"/>
      <c r="AT247" s="819"/>
      <c r="AU247" s="819"/>
      <c r="AV247" s="819"/>
      <c r="AW247" s="819"/>
      <c r="AX247" s="819"/>
      <c r="AY247" s="819"/>
      <c r="AZ247" s="819"/>
      <c r="BA247" s="819"/>
    </row>
    <row r="248" spans="2:53" ht="13.5" customHeight="1">
      <c r="B248" s="814"/>
      <c r="C248" s="814"/>
      <c r="D248" s="814"/>
      <c r="E248" s="796"/>
      <c r="F248" s="796"/>
      <c r="G248" s="796"/>
      <c r="H248" s="812"/>
      <c r="I248" s="815"/>
      <c r="J248" s="796"/>
      <c r="K248" s="796"/>
      <c r="L248" s="796"/>
      <c r="M248" s="812"/>
      <c r="N248" s="815"/>
      <c r="O248" s="796"/>
      <c r="P248" s="796"/>
      <c r="Q248" s="815"/>
      <c r="R248" s="815"/>
      <c r="S248" s="796"/>
      <c r="T248" s="796"/>
      <c r="U248" s="796"/>
      <c r="V248" s="796"/>
      <c r="W248" s="796"/>
      <c r="X248" s="796"/>
      <c r="Y248" s="796"/>
      <c r="Z248" s="796"/>
      <c r="AA248" s="1338"/>
      <c r="AB248" s="1338"/>
      <c r="AC248" s="819"/>
      <c r="AE248" s="819"/>
      <c r="AF248" s="819"/>
      <c r="AG248" s="819"/>
      <c r="AH248" s="819"/>
      <c r="AI248" s="819"/>
      <c r="AJ248" s="819"/>
      <c r="AK248" s="819"/>
      <c r="AL248" s="819"/>
      <c r="AM248" s="819"/>
      <c r="AN248" s="819"/>
      <c r="AO248" s="819"/>
      <c r="AP248" s="819"/>
      <c r="AQ248" s="819"/>
      <c r="AR248" s="819"/>
      <c r="AS248" s="819"/>
      <c r="AT248" s="819"/>
      <c r="AU248" s="819"/>
      <c r="AV248" s="819"/>
      <c r="AW248" s="819"/>
      <c r="AX248" s="819"/>
      <c r="AY248" s="819"/>
      <c r="AZ248" s="819"/>
      <c r="BA248" s="819"/>
    </row>
    <row r="249" spans="2:53" ht="13.5" customHeight="1">
      <c r="B249" s="814"/>
      <c r="C249" s="814"/>
      <c r="D249" s="814"/>
      <c r="E249" s="796"/>
      <c r="F249" s="796" t="s">
        <v>1498</v>
      </c>
      <c r="G249" s="796"/>
      <c r="H249" s="815"/>
      <c r="I249" s="815"/>
      <c r="J249" s="796"/>
      <c r="K249" s="796"/>
      <c r="L249" s="796"/>
      <c r="M249" s="815"/>
      <c r="N249" s="815"/>
      <c r="O249" s="796"/>
      <c r="P249" s="796"/>
      <c r="Q249" s="815"/>
      <c r="R249" s="815"/>
      <c r="S249" s="796"/>
      <c r="T249" s="796"/>
      <c r="U249" s="796"/>
      <c r="V249" s="796"/>
      <c r="W249" s="796"/>
      <c r="X249" s="796"/>
      <c r="Y249" s="796"/>
      <c r="Z249" s="796"/>
      <c r="AA249" s="1338"/>
      <c r="AB249" s="1338"/>
      <c r="AC249" s="819"/>
      <c r="AE249" s="819"/>
      <c r="AF249" s="819"/>
      <c r="AG249" s="819"/>
      <c r="AH249" s="819"/>
      <c r="AI249" s="819"/>
      <c r="AJ249" s="819"/>
      <c r="AK249" s="819"/>
      <c r="AL249" s="819"/>
      <c r="AM249" s="819"/>
      <c r="AN249" s="819"/>
      <c r="AO249" s="819"/>
      <c r="AP249" s="819"/>
      <c r="AQ249" s="819"/>
      <c r="AR249" s="819"/>
      <c r="AS249" s="819"/>
      <c r="AT249" s="819"/>
      <c r="AU249" s="819"/>
      <c r="AV249" s="819"/>
      <c r="AW249" s="819"/>
      <c r="AX249" s="819"/>
      <c r="AY249" s="819"/>
      <c r="AZ249" s="819"/>
      <c r="BA249" s="819"/>
    </row>
    <row r="250" spans="2:53" ht="13.5" customHeight="1">
      <c r="B250" s="814"/>
      <c r="C250" s="814"/>
      <c r="D250" s="814"/>
      <c r="E250" s="796"/>
      <c r="F250" s="796"/>
      <c r="G250" s="796"/>
      <c r="H250" s="815"/>
      <c r="I250" s="815"/>
      <c r="J250" s="796"/>
      <c r="K250" s="796"/>
      <c r="L250" s="796"/>
      <c r="M250" s="815"/>
      <c r="N250" s="815"/>
      <c r="O250" s="796"/>
      <c r="P250" s="796"/>
      <c r="Q250" s="815"/>
      <c r="R250" s="815"/>
      <c r="S250" s="796"/>
      <c r="T250" s="796"/>
      <c r="U250" s="796"/>
      <c r="V250" s="796"/>
      <c r="W250" s="796"/>
      <c r="X250" s="796"/>
      <c r="Y250" s="796"/>
      <c r="Z250" s="796"/>
      <c r="AA250" s="1338"/>
      <c r="AB250" s="1338"/>
      <c r="AC250" s="819"/>
      <c r="AE250" s="819"/>
      <c r="AF250" s="819"/>
      <c r="AG250" s="819"/>
      <c r="AH250" s="819"/>
      <c r="AI250" s="819"/>
      <c r="AJ250" s="819"/>
      <c r="AK250" s="819"/>
      <c r="AL250" s="819"/>
      <c r="AM250" s="819"/>
      <c r="AN250" s="819"/>
      <c r="AO250" s="819"/>
      <c r="AP250" s="819"/>
      <c r="AQ250" s="819"/>
      <c r="AR250" s="819"/>
      <c r="AS250" s="819"/>
      <c r="AT250" s="819"/>
      <c r="AU250" s="819"/>
      <c r="AV250" s="819"/>
      <c r="AW250" s="819"/>
      <c r="AX250" s="819"/>
      <c r="AY250" s="819"/>
      <c r="AZ250" s="819"/>
      <c r="BA250" s="819"/>
    </row>
    <row r="251" spans="2:53" ht="13.5" customHeight="1">
      <c r="B251" s="814"/>
      <c r="C251" s="814"/>
      <c r="D251" s="814"/>
      <c r="E251" s="796"/>
      <c r="F251" s="796"/>
      <c r="G251" s="796"/>
      <c r="H251" s="796"/>
      <c r="I251" s="796"/>
      <c r="J251" s="796"/>
      <c r="K251" s="796"/>
      <c r="L251" s="796"/>
      <c r="M251" s="796"/>
      <c r="N251" s="796"/>
      <c r="O251" s="796"/>
      <c r="P251" s="796"/>
      <c r="Q251" s="796"/>
      <c r="R251" s="796"/>
      <c r="S251" s="796"/>
      <c r="T251" s="796"/>
      <c r="U251" s="796"/>
      <c r="V251" s="796"/>
      <c r="W251" s="796"/>
      <c r="X251" s="796"/>
      <c r="Y251" s="796"/>
      <c r="Z251" s="796"/>
      <c r="AA251" s="1338"/>
      <c r="AB251" s="1338"/>
      <c r="AC251" s="819"/>
      <c r="AE251" s="819"/>
      <c r="AF251" s="819"/>
      <c r="AG251" s="819"/>
      <c r="AH251" s="819"/>
      <c r="AI251" s="819"/>
      <c r="AJ251" s="819"/>
      <c r="AK251" s="819"/>
      <c r="AL251" s="819"/>
      <c r="AM251" s="819"/>
      <c r="AN251" s="819"/>
      <c r="AO251" s="819"/>
      <c r="AP251" s="819"/>
      <c r="AQ251" s="819"/>
      <c r="AR251" s="819"/>
      <c r="AS251" s="819"/>
      <c r="AT251" s="819"/>
      <c r="AU251" s="819"/>
      <c r="AV251" s="819"/>
      <c r="AW251" s="819"/>
      <c r="AX251" s="819"/>
      <c r="AY251" s="819"/>
      <c r="AZ251" s="819"/>
      <c r="BA251" s="819"/>
    </row>
    <row r="252" spans="2:53" ht="13.5" customHeight="1">
      <c r="B252" s="814"/>
      <c r="C252" s="814"/>
      <c r="D252" s="814"/>
      <c r="E252" s="796"/>
      <c r="F252" s="796"/>
      <c r="G252" s="796"/>
      <c r="H252" s="801"/>
      <c r="I252" s="796"/>
      <c r="J252" s="796"/>
      <c r="K252" s="796"/>
      <c r="L252" s="796"/>
      <c r="M252" s="801"/>
      <c r="N252" s="796"/>
      <c r="O252" s="796"/>
      <c r="P252" s="796"/>
      <c r="Q252" s="796"/>
      <c r="R252" s="796"/>
      <c r="S252" s="796"/>
      <c r="T252" s="796"/>
      <c r="U252" s="796"/>
      <c r="V252" s="796"/>
      <c r="W252" s="796"/>
      <c r="X252" s="796"/>
      <c r="Y252" s="796"/>
      <c r="Z252" s="796"/>
      <c r="AA252" s="1338"/>
      <c r="AB252" s="1338"/>
      <c r="AC252" s="819"/>
      <c r="AE252" s="819"/>
      <c r="AF252" s="819"/>
      <c r="AG252" s="819"/>
      <c r="AH252" s="819"/>
      <c r="AI252" s="819"/>
      <c r="AJ252" s="819"/>
      <c r="AK252" s="819"/>
      <c r="AL252" s="819"/>
      <c r="AM252" s="819"/>
      <c r="AN252" s="819"/>
      <c r="AO252" s="819"/>
      <c r="AP252" s="819"/>
      <c r="AQ252" s="819"/>
      <c r="AR252" s="819"/>
      <c r="AS252" s="819"/>
      <c r="AT252" s="819"/>
      <c r="AU252" s="819"/>
      <c r="AV252" s="819"/>
      <c r="AW252" s="819"/>
      <c r="AX252" s="819"/>
      <c r="AY252" s="819"/>
      <c r="AZ252" s="819"/>
      <c r="BA252" s="819"/>
    </row>
    <row r="253" spans="2:53" ht="13.5" customHeight="1" thickBot="1">
      <c r="B253" s="814"/>
      <c r="C253" s="814"/>
      <c r="D253" s="814"/>
      <c r="E253" s="2106" t="s">
        <v>1494</v>
      </c>
      <c r="F253" s="2106"/>
      <c r="G253" s="2106"/>
      <c r="H253" s="801"/>
      <c r="I253" s="796"/>
      <c r="J253" s="796"/>
      <c r="K253" s="796"/>
      <c r="L253" s="796"/>
      <c r="M253" s="796"/>
      <c r="N253" s="816"/>
      <c r="O253" s="796"/>
      <c r="P253" s="796"/>
      <c r="Q253" s="796"/>
      <c r="R253" s="796"/>
      <c r="S253" s="796"/>
      <c r="T253" s="796"/>
      <c r="U253" s="796"/>
      <c r="V253" s="796"/>
      <c r="W253" s="796"/>
      <c r="X253" s="796"/>
      <c r="Y253" s="796"/>
      <c r="Z253" s="796"/>
      <c r="AA253" s="1338"/>
      <c r="AB253" s="1338"/>
      <c r="AC253" s="819"/>
      <c r="AE253" s="819"/>
      <c r="AF253" s="819"/>
      <c r="AG253" s="819"/>
      <c r="AH253" s="819"/>
      <c r="AI253" s="819"/>
      <c r="AJ253" s="819"/>
      <c r="AK253" s="819"/>
      <c r="AL253" s="819"/>
      <c r="AM253" s="819"/>
      <c r="AN253" s="819"/>
      <c r="AO253" s="819"/>
      <c r="AP253" s="819"/>
      <c r="AQ253" s="819"/>
      <c r="AR253" s="819"/>
      <c r="AS253" s="819"/>
      <c r="AT253" s="819"/>
      <c r="AU253" s="819"/>
      <c r="AV253" s="819"/>
      <c r="AW253" s="819"/>
      <c r="AX253" s="819"/>
      <c r="AY253" s="819"/>
      <c r="AZ253" s="819"/>
      <c r="BA253" s="819"/>
    </row>
    <row r="254" spans="2:53" ht="13.5" customHeight="1" thickTop="1" thickBot="1">
      <c r="B254" s="814"/>
      <c r="C254" s="796"/>
      <c r="D254" s="796"/>
      <c r="E254" s="802"/>
      <c r="F254" s="2017" t="s">
        <v>69</v>
      </c>
      <c r="G254" s="803"/>
      <c r="H254" s="804"/>
      <c r="I254" s="805"/>
      <c r="J254" s="802"/>
      <c r="K254" s="2022" t="s">
        <v>1473</v>
      </c>
      <c r="L254" s="802"/>
      <c r="M254" s="804"/>
      <c r="N254" s="805"/>
      <c r="O254" s="802"/>
      <c r="P254" s="2108" t="s">
        <v>1475</v>
      </c>
      <c r="Q254" s="805"/>
      <c r="R254" s="811"/>
      <c r="S254" s="814"/>
      <c r="T254" s="796"/>
      <c r="U254" s="796"/>
      <c r="V254" s="796"/>
      <c r="W254" s="796"/>
      <c r="X254" s="2120"/>
      <c r="Y254" s="796"/>
      <c r="Z254" s="796"/>
      <c r="AA254" s="1338"/>
      <c r="AB254" s="1338"/>
      <c r="AC254" s="819"/>
      <c r="AE254" s="819"/>
      <c r="AF254" s="819"/>
      <c r="AG254" s="819"/>
      <c r="AH254" s="819"/>
      <c r="AI254" s="819"/>
      <c r="AJ254" s="819"/>
      <c r="AK254" s="819"/>
      <c r="AL254" s="819"/>
      <c r="AM254" s="819"/>
      <c r="AN254" s="819"/>
      <c r="AO254" s="819"/>
      <c r="AP254" s="819"/>
      <c r="AQ254" s="819"/>
      <c r="AR254" s="819"/>
      <c r="AS254" s="819"/>
      <c r="AT254" s="819"/>
      <c r="AU254" s="819"/>
      <c r="AV254" s="819"/>
      <c r="AW254" s="819"/>
      <c r="AX254" s="819"/>
      <c r="AY254" s="819"/>
      <c r="AZ254" s="819"/>
      <c r="BA254" s="819"/>
    </row>
    <row r="255" spans="2:53" ht="13.5" customHeight="1" thickTop="1" thickBot="1">
      <c r="B255" s="814"/>
      <c r="C255" s="796"/>
      <c r="D255" s="796"/>
      <c r="E255" s="806"/>
      <c r="F255" s="2018"/>
      <c r="G255" s="796"/>
      <c r="H255" s="796"/>
      <c r="I255" s="796"/>
      <c r="J255" s="796"/>
      <c r="K255" s="2023"/>
      <c r="L255" s="796"/>
      <c r="M255" s="796"/>
      <c r="N255" s="796"/>
      <c r="O255" s="796"/>
      <c r="P255" s="2109"/>
      <c r="Q255" s="796"/>
      <c r="R255" s="816"/>
      <c r="S255" s="796"/>
      <c r="T255" s="796"/>
      <c r="U255" s="796"/>
      <c r="V255" s="796"/>
      <c r="W255" s="796"/>
      <c r="X255" s="2120"/>
      <c r="Y255" s="796"/>
      <c r="Z255" s="796"/>
      <c r="AA255" s="1338"/>
      <c r="AB255" s="1338"/>
      <c r="AC255" s="819"/>
      <c r="AE255" s="819"/>
      <c r="AF255" s="819"/>
      <c r="AG255" s="819"/>
      <c r="AH255" s="819"/>
      <c r="AI255" s="819"/>
      <c r="AJ255" s="819"/>
      <c r="AK255" s="819"/>
      <c r="AL255" s="819"/>
      <c r="AM255" s="819"/>
      <c r="AN255" s="819"/>
      <c r="AO255" s="819"/>
      <c r="AP255" s="819"/>
      <c r="AQ255" s="819"/>
      <c r="AR255" s="819"/>
      <c r="AS255" s="819"/>
      <c r="AT255" s="819"/>
      <c r="AU255" s="819"/>
      <c r="AV255" s="819"/>
      <c r="AW255" s="819"/>
      <c r="AX255" s="819"/>
      <c r="AY255" s="819"/>
      <c r="AZ255" s="819"/>
      <c r="BA255" s="819"/>
    </row>
    <row r="256" spans="2:53" ht="13.5" customHeight="1" thickTop="1" thickBot="1">
      <c r="B256" s="814"/>
      <c r="C256" s="2114" t="s">
        <v>334</v>
      </c>
      <c r="D256" s="2118"/>
      <c r="E256" s="814"/>
      <c r="F256" s="814"/>
      <c r="G256" s="796"/>
      <c r="H256" s="796"/>
      <c r="I256" s="796"/>
      <c r="J256" s="796"/>
      <c r="K256" s="796"/>
      <c r="L256" s="796"/>
      <c r="M256" s="796"/>
      <c r="N256" s="796"/>
      <c r="O256" s="796"/>
      <c r="P256" s="796"/>
      <c r="Q256" s="796"/>
      <c r="R256" s="2116" t="s">
        <v>341</v>
      </c>
      <c r="S256" s="2117"/>
      <c r="T256" s="796"/>
      <c r="U256" s="796"/>
      <c r="V256" s="796"/>
      <c r="W256" s="796"/>
      <c r="X256" s="796"/>
      <c r="Y256" s="2115"/>
      <c r="Z256" s="2115"/>
      <c r="AA256" s="1338"/>
      <c r="AB256" s="1338"/>
      <c r="AC256" s="819"/>
      <c r="AE256" s="819"/>
      <c r="AF256" s="819"/>
      <c r="AG256" s="819"/>
      <c r="AH256" s="819"/>
      <c r="AI256" s="819"/>
      <c r="AJ256" s="819"/>
      <c r="AK256" s="819"/>
      <c r="AL256" s="819"/>
      <c r="AM256" s="819"/>
      <c r="AN256" s="819"/>
      <c r="AO256" s="819"/>
      <c r="AP256" s="819"/>
      <c r="AQ256" s="819"/>
      <c r="AR256" s="819"/>
      <c r="AS256" s="819"/>
      <c r="AT256" s="819"/>
      <c r="AU256" s="819"/>
      <c r="AV256" s="819"/>
      <c r="AW256" s="819"/>
      <c r="AX256" s="819"/>
      <c r="AY256" s="819"/>
      <c r="AZ256" s="819"/>
      <c r="BA256" s="819"/>
    </row>
    <row r="257" spans="1:53" ht="13.5" customHeight="1" thickTop="1" thickBot="1">
      <c r="B257" s="796"/>
      <c r="C257" s="807"/>
      <c r="D257" s="792"/>
      <c r="E257" s="796"/>
      <c r="F257" s="796"/>
      <c r="G257" s="796"/>
      <c r="H257" s="796"/>
      <c r="I257" s="796"/>
      <c r="J257" s="796"/>
      <c r="K257" s="796"/>
      <c r="L257" s="796"/>
      <c r="M257" s="796"/>
      <c r="N257" s="796"/>
      <c r="O257" s="796"/>
      <c r="P257" s="796"/>
      <c r="Q257" s="796"/>
      <c r="R257" s="2121"/>
      <c r="S257" s="2122"/>
      <c r="T257" s="796"/>
      <c r="U257" s="796"/>
      <c r="V257" s="796"/>
      <c r="W257" s="796"/>
      <c r="X257" s="796"/>
      <c r="Y257" s="796"/>
      <c r="Z257" s="796"/>
      <c r="AA257" s="1338"/>
      <c r="AB257" s="1338"/>
      <c r="AC257" s="819"/>
      <c r="AE257" s="819"/>
      <c r="AF257" s="819"/>
      <c r="AG257" s="819"/>
      <c r="AH257" s="819"/>
      <c r="AI257" s="819"/>
      <c r="AJ257" s="819"/>
      <c r="AK257" s="819"/>
      <c r="AL257" s="819"/>
      <c r="AM257" s="819"/>
      <c r="AN257" s="819"/>
      <c r="AO257" s="819"/>
      <c r="AP257" s="819"/>
      <c r="AQ257" s="819"/>
      <c r="AR257" s="819"/>
      <c r="AS257" s="819"/>
      <c r="AT257" s="819"/>
      <c r="AU257" s="819"/>
      <c r="AV257" s="819"/>
      <c r="AW257" s="819"/>
      <c r="AX257" s="819"/>
      <c r="AY257" s="819"/>
      <c r="AZ257" s="819"/>
      <c r="BA257" s="819"/>
    </row>
    <row r="258" spans="1:53" ht="13.5" customHeight="1" thickTop="1" thickBot="1">
      <c r="B258" s="794"/>
      <c r="C258" s="796"/>
      <c r="D258" s="801"/>
      <c r="E258" s="808"/>
      <c r="F258" s="2022" t="s">
        <v>1481</v>
      </c>
      <c r="G258" s="809"/>
      <c r="H258" s="809"/>
      <c r="I258" s="809"/>
      <c r="J258" s="809"/>
      <c r="K258" s="2108" t="s">
        <v>1479</v>
      </c>
      <c r="L258" s="809"/>
      <c r="M258" s="809"/>
      <c r="N258" s="809"/>
      <c r="O258" s="809"/>
      <c r="P258" s="2108" t="s">
        <v>1478</v>
      </c>
      <c r="Q258" s="809"/>
      <c r="R258" s="2123"/>
      <c r="S258" s="2112"/>
      <c r="T258" s="796"/>
      <c r="U258" s="796"/>
      <c r="V258" s="796"/>
      <c r="W258" s="796"/>
      <c r="X258" s="2120"/>
      <c r="Y258" s="796"/>
      <c r="Z258" s="796"/>
      <c r="AA258" s="1338"/>
      <c r="AB258" s="1338"/>
      <c r="AC258" s="819"/>
      <c r="AE258" s="819"/>
      <c r="AF258" s="819"/>
      <c r="AG258" s="819"/>
      <c r="AH258" s="819"/>
      <c r="AI258" s="819"/>
      <c r="AJ258" s="819"/>
      <c r="AK258" s="819"/>
      <c r="AL258" s="819"/>
      <c r="AM258" s="819"/>
      <c r="AN258" s="819"/>
      <c r="AO258" s="819"/>
      <c r="AP258" s="819"/>
      <c r="AQ258" s="819"/>
      <c r="AR258" s="819"/>
      <c r="AS258" s="819"/>
      <c r="AT258" s="819"/>
      <c r="AU258" s="819"/>
      <c r="AV258" s="819"/>
      <c r="AW258" s="819"/>
      <c r="AX258" s="819"/>
      <c r="AY258" s="819"/>
      <c r="AZ258" s="819"/>
      <c r="BA258" s="819"/>
    </row>
    <row r="259" spans="1:53" ht="13.5" customHeight="1" thickTop="1" thickBot="1">
      <c r="B259" s="796"/>
      <c r="C259" s="796"/>
      <c r="D259" s="796"/>
      <c r="E259" s="796"/>
      <c r="F259" s="2023"/>
      <c r="G259" s="796"/>
      <c r="H259" s="801"/>
      <c r="I259" s="796"/>
      <c r="J259" s="796"/>
      <c r="K259" s="2109"/>
      <c r="L259" s="796"/>
      <c r="M259" s="801"/>
      <c r="N259" s="796"/>
      <c r="O259" s="796"/>
      <c r="P259" s="2109"/>
      <c r="Q259" s="796"/>
      <c r="R259" s="796"/>
      <c r="S259" s="796"/>
      <c r="T259" s="796"/>
      <c r="U259" s="796"/>
      <c r="V259" s="796"/>
      <c r="W259" s="796"/>
      <c r="X259" s="2120"/>
      <c r="Y259" s="796"/>
      <c r="Z259" s="796"/>
      <c r="AA259" s="1338"/>
      <c r="AB259" s="1338"/>
      <c r="AC259" s="819"/>
      <c r="AE259" s="819"/>
      <c r="AF259" s="819"/>
      <c r="AG259" s="819"/>
      <c r="AH259" s="819"/>
      <c r="AI259" s="819"/>
      <c r="AJ259" s="819"/>
      <c r="AK259" s="819"/>
      <c r="AL259" s="819"/>
      <c r="AM259" s="819"/>
      <c r="AN259" s="819"/>
      <c r="AO259" s="819"/>
      <c r="AP259" s="819"/>
      <c r="AQ259" s="819"/>
      <c r="AR259" s="819"/>
      <c r="AS259" s="819"/>
      <c r="AT259" s="819"/>
      <c r="AU259" s="819"/>
      <c r="AV259" s="819"/>
      <c r="AW259" s="819"/>
      <c r="AX259" s="819"/>
      <c r="AY259" s="819"/>
      <c r="AZ259" s="819"/>
      <c r="BA259" s="819"/>
    </row>
    <row r="260" spans="1:53" ht="14.1" customHeight="1">
      <c r="A260" s="819"/>
      <c r="B260" s="796"/>
      <c r="C260" s="796"/>
      <c r="D260" s="796"/>
      <c r="E260" s="796"/>
      <c r="F260" s="796"/>
      <c r="G260" s="796"/>
      <c r="H260" s="801"/>
      <c r="I260" s="796"/>
      <c r="J260" s="796"/>
      <c r="K260" s="796"/>
      <c r="L260" s="796"/>
      <c r="M260" s="801"/>
      <c r="N260" s="796"/>
      <c r="O260" s="796"/>
      <c r="P260" s="796"/>
      <c r="Q260" s="796"/>
      <c r="R260" s="796"/>
      <c r="S260" s="796"/>
      <c r="T260" s="796"/>
      <c r="U260" s="796"/>
      <c r="V260" s="796"/>
      <c r="W260" s="796"/>
      <c r="X260" s="796"/>
      <c r="Y260" s="796"/>
      <c r="Z260" s="796"/>
      <c r="AA260" s="1342"/>
      <c r="AB260" s="1401"/>
      <c r="AC260" s="819"/>
      <c r="AE260" s="819"/>
      <c r="AF260" s="819"/>
      <c r="AG260" s="819"/>
      <c r="AH260" s="819"/>
      <c r="AI260" s="819"/>
      <c r="AJ260" s="819"/>
      <c r="AK260" s="819"/>
      <c r="AL260" s="819"/>
      <c r="AM260" s="819"/>
      <c r="AN260" s="819"/>
      <c r="AO260" s="819"/>
      <c r="AP260" s="819"/>
      <c r="AQ260" s="819"/>
      <c r="AR260" s="819"/>
      <c r="AS260" s="819"/>
      <c r="AT260" s="819"/>
      <c r="AU260" s="819"/>
      <c r="AV260" s="819"/>
      <c r="AW260" s="819"/>
      <c r="AX260" s="819"/>
      <c r="AY260" s="819"/>
      <c r="AZ260" s="819"/>
      <c r="BA260" s="819"/>
    </row>
    <row r="261" spans="1:53" ht="14.1" customHeight="1">
      <c r="A261" s="819"/>
      <c r="B261" s="796"/>
      <c r="C261" s="796"/>
      <c r="D261" s="796"/>
      <c r="E261" s="796"/>
      <c r="F261" s="796"/>
      <c r="G261" s="796"/>
      <c r="H261" s="810"/>
      <c r="I261" s="811"/>
      <c r="J261" s="796"/>
      <c r="K261" s="796"/>
      <c r="L261" s="796"/>
      <c r="M261" s="810"/>
      <c r="N261" s="811"/>
      <c r="O261" s="796"/>
      <c r="P261" s="796"/>
      <c r="Q261" s="811"/>
      <c r="R261" s="811"/>
      <c r="S261" s="796"/>
      <c r="T261" s="796"/>
      <c r="U261" s="796"/>
      <c r="V261" s="796"/>
      <c r="W261" s="796"/>
      <c r="X261" s="796"/>
      <c r="Y261" s="796"/>
      <c r="Z261" s="796"/>
      <c r="AA261" s="1342"/>
      <c r="AB261" s="1401"/>
      <c r="AC261" s="819"/>
      <c r="AE261" s="819"/>
      <c r="AF261" s="819"/>
      <c r="AG261" s="819"/>
      <c r="AH261" s="819"/>
      <c r="AI261" s="819"/>
      <c r="AJ261" s="819"/>
      <c r="AK261" s="819"/>
      <c r="AL261" s="819"/>
      <c r="AM261" s="819"/>
      <c r="AN261" s="819"/>
      <c r="AO261" s="819"/>
      <c r="AP261" s="819"/>
      <c r="AQ261" s="819"/>
      <c r="AR261" s="819"/>
      <c r="AS261" s="819"/>
      <c r="AT261" s="819"/>
      <c r="AU261" s="819"/>
      <c r="AV261" s="819"/>
      <c r="AW261" s="819"/>
      <c r="AX261" s="819"/>
      <c r="AY261" s="819"/>
      <c r="AZ261" s="819"/>
      <c r="BA261" s="819"/>
    </row>
    <row r="262" spans="1:53" ht="14.1" customHeight="1">
      <c r="A262" s="819"/>
      <c r="B262" s="813"/>
      <c r="C262" s="813"/>
      <c r="D262" s="796"/>
      <c r="E262" s="796"/>
      <c r="F262" s="796"/>
      <c r="G262" s="2115" t="s">
        <v>1480</v>
      </c>
      <c r="H262" s="2115"/>
      <c r="I262" s="2115"/>
      <c r="J262" s="796"/>
      <c r="K262" s="796"/>
      <c r="L262" s="796"/>
      <c r="M262" s="2115" t="s">
        <v>338</v>
      </c>
      <c r="N262" s="2115"/>
      <c r="O262" s="796"/>
      <c r="P262" s="796"/>
      <c r="Q262" s="2115"/>
      <c r="R262" s="2115"/>
      <c r="S262" s="796"/>
      <c r="T262" s="796"/>
      <c r="U262" s="796"/>
      <c r="V262" s="796"/>
      <c r="W262" s="796"/>
      <c r="X262" s="796"/>
      <c r="Y262" s="796"/>
      <c r="Z262" s="796"/>
      <c r="AA262" s="1342"/>
      <c r="AB262" s="1401"/>
      <c r="AC262" s="819"/>
      <c r="AE262" s="819"/>
      <c r="AF262" s="819"/>
      <c r="AG262" s="819"/>
      <c r="AH262" s="819"/>
      <c r="AI262" s="819"/>
      <c r="AJ262" s="819"/>
      <c r="AK262" s="819"/>
      <c r="AL262" s="819"/>
      <c r="AM262" s="819"/>
      <c r="AN262" s="819"/>
      <c r="AO262" s="819"/>
      <c r="AP262" s="819"/>
      <c r="AQ262" s="819"/>
      <c r="AR262" s="819"/>
      <c r="AS262" s="819"/>
      <c r="AT262" s="819"/>
      <c r="AU262" s="819"/>
      <c r="AV262" s="819"/>
      <c r="AW262" s="819"/>
      <c r="AX262" s="819"/>
      <c r="AY262" s="819"/>
      <c r="AZ262" s="819"/>
      <c r="BA262" s="819"/>
    </row>
    <row r="263" spans="1:53" ht="14.1" customHeight="1">
      <c r="A263" s="819"/>
      <c r="B263" s="819"/>
      <c r="C263" s="819"/>
      <c r="D263" s="1342"/>
      <c r="E263" s="1342"/>
      <c r="F263" s="1342"/>
      <c r="G263" s="1342"/>
      <c r="H263" s="1342"/>
      <c r="I263" s="1342"/>
      <c r="J263" s="1342"/>
      <c r="K263" s="1342"/>
      <c r="L263" s="1342"/>
      <c r="M263" s="1342"/>
      <c r="N263" s="1342"/>
      <c r="O263" s="1342"/>
      <c r="P263" s="1342"/>
      <c r="Q263" s="1342"/>
      <c r="R263" s="1342"/>
      <c r="S263" s="1342"/>
      <c r="T263" s="1342"/>
      <c r="U263" s="1342"/>
      <c r="V263" s="1342"/>
      <c r="W263" s="1342"/>
      <c r="X263" s="1342"/>
      <c r="Y263" s="1342"/>
      <c r="Z263" s="1342"/>
      <c r="AA263" s="1342"/>
      <c r="AB263" s="1401"/>
      <c r="AC263" s="819"/>
      <c r="AE263" s="819"/>
      <c r="AF263" s="819"/>
      <c r="AG263" s="819"/>
      <c r="AH263" s="819"/>
      <c r="AI263" s="819"/>
      <c r="AJ263" s="819"/>
      <c r="AK263" s="819"/>
      <c r="AL263" s="819"/>
      <c r="AM263" s="819"/>
      <c r="AN263" s="819"/>
      <c r="AO263" s="819"/>
      <c r="AP263" s="819"/>
      <c r="AQ263" s="819"/>
      <c r="AR263" s="819"/>
      <c r="AS263" s="819"/>
      <c r="AT263" s="819"/>
      <c r="AU263" s="819"/>
      <c r="AV263" s="819"/>
      <c r="AW263" s="819"/>
      <c r="AX263" s="819"/>
      <c r="AY263" s="819"/>
      <c r="AZ263" s="819"/>
      <c r="BA263" s="819"/>
    </row>
    <row r="264" spans="1:53" ht="14.1" customHeight="1">
      <c r="A264" s="819"/>
      <c r="B264" s="819"/>
      <c r="C264" s="2124" t="s">
        <v>1495</v>
      </c>
      <c r="D264" s="2124"/>
      <c r="E264" s="2124"/>
      <c r="F264" s="2124"/>
      <c r="G264" s="2124"/>
      <c r="H264" s="2124"/>
      <c r="I264" s="2124"/>
      <c r="J264" s="2124"/>
      <c r="K264" s="1342"/>
      <c r="L264" s="1342"/>
      <c r="M264" s="1342"/>
      <c r="N264" s="1342"/>
      <c r="O264" s="1342"/>
      <c r="P264" s="1342"/>
      <c r="Q264" s="1342"/>
      <c r="R264" s="1342"/>
      <c r="S264" s="1342"/>
      <c r="T264" s="1342"/>
      <c r="U264" s="1342"/>
      <c r="V264" s="1342"/>
      <c r="W264" s="1342"/>
      <c r="X264" s="1342"/>
      <c r="Y264" s="1342"/>
      <c r="Z264" s="1342"/>
      <c r="AA264" s="1342"/>
      <c r="AB264" s="1401"/>
      <c r="AC264" s="819"/>
      <c r="AE264" s="819"/>
      <c r="AF264" s="819"/>
      <c r="AG264" s="819"/>
      <c r="AH264" s="819"/>
      <c r="AI264" s="819"/>
      <c r="AJ264" s="819"/>
      <c r="AK264" s="819"/>
      <c r="AL264" s="819"/>
      <c r="AM264" s="819"/>
      <c r="AN264" s="819"/>
      <c r="AO264" s="819"/>
      <c r="AP264" s="819"/>
      <c r="AQ264" s="819"/>
      <c r="AR264" s="819"/>
      <c r="AS264" s="819"/>
      <c r="AT264" s="819"/>
      <c r="AU264" s="819"/>
      <c r="AV264" s="819"/>
      <c r="AW264" s="819"/>
      <c r="AX264" s="819"/>
      <c r="AY264" s="819"/>
      <c r="AZ264" s="819"/>
      <c r="BA264" s="819"/>
    </row>
    <row r="265" spans="1:53" ht="14.1" customHeight="1">
      <c r="A265" s="819"/>
      <c r="B265" s="819"/>
      <c r="C265" s="2093" t="s">
        <v>1507</v>
      </c>
      <c r="D265" s="2125"/>
      <c r="E265" s="2125"/>
      <c r="F265" s="2125"/>
      <c r="G265" s="2125"/>
      <c r="H265" s="2125"/>
      <c r="I265" s="2125"/>
      <c r="J265" s="2125"/>
      <c r="K265" s="2125"/>
      <c r="L265" s="2125"/>
      <c r="M265" s="2125"/>
      <c r="N265" s="2125"/>
      <c r="O265" s="2125"/>
      <c r="P265" s="2125"/>
      <c r="Q265" s="2125"/>
      <c r="R265" s="2125"/>
      <c r="S265" s="2125"/>
      <c r="T265" s="2125"/>
      <c r="U265" s="2125"/>
      <c r="V265" s="2125"/>
      <c r="W265" s="2125"/>
      <c r="X265" s="2125"/>
      <c r="Y265" s="2125"/>
      <c r="Z265" s="2125"/>
      <c r="AA265" s="2125"/>
      <c r="AB265" s="2125"/>
      <c r="AC265" s="2125"/>
      <c r="AE265" s="819"/>
      <c r="AF265" s="819"/>
      <c r="AG265" s="819"/>
      <c r="AH265" s="819"/>
      <c r="AI265" s="819"/>
      <c r="AJ265" s="819"/>
      <c r="AK265" s="819"/>
      <c r="AL265" s="819"/>
      <c r="AM265" s="819"/>
      <c r="AN265" s="819"/>
      <c r="AO265" s="819"/>
      <c r="AP265" s="819"/>
      <c r="AQ265" s="819"/>
      <c r="AR265" s="819"/>
      <c r="AS265" s="819"/>
      <c r="AT265" s="819"/>
      <c r="AU265" s="819"/>
      <c r="AV265" s="819"/>
      <c r="AW265" s="819"/>
      <c r="AX265" s="819"/>
      <c r="AY265" s="819"/>
      <c r="AZ265" s="819"/>
      <c r="BA265" s="819"/>
    </row>
    <row r="266" spans="1:53" ht="14.1" customHeight="1">
      <c r="A266" s="819"/>
      <c r="B266" s="819"/>
      <c r="C266" s="2125"/>
      <c r="D266" s="2125"/>
      <c r="E266" s="2125"/>
      <c r="F266" s="2125"/>
      <c r="G266" s="2125"/>
      <c r="H266" s="2125"/>
      <c r="I266" s="2125"/>
      <c r="J266" s="2125"/>
      <c r="K266" s="2125"/>
      <c r="L266" s="2125"/>
      <c r="M266" s="2125"/>
      <c r="N266" s="2125"/>
      <c r="O266" s="2125"/>
      <c r="P266" s="2125"/>
      <c r="Q266" s="2125"/>
      <c r="R266" s="2125"/>
      <c r="S266" s="2125"/>
      <c r="T266" s="2125"/>
      <c r="U266" s="2125"/>
      <c r="V266" s="2125"/>
      <c r="W266" s="2125"/>
      <c r="X266" s="2125"/>
      <c r="Y266" s="2125"/>
      <c r="Z266" s="2125"/>
      <c r="AA266" s="2125"/>
      <c r="AB266" s="2125"/>
      <c r="AC266" s="2125"/>
      <c r="AE266" s="819"/>
      <c r="AF266" s="819"/>
      <c r="AG266" s="819"/>
      <c r="AH266" s="819"/>
      <c r="AI266" s="819"/>
      <c r="AJ266" s="819"/>
      <c r="AK266" s="819"/>
      <c r="AL266" s="819"/>
      <c r="AM266" s="819"/>
      <c r="AN266" s="819"/>
      <c r="AO266" s="819"/>
      <c r="AP266" s="819"/>
      <c r="AQ266" s="819"/>
      <c r="AR266" s="819"/>
      <c r="AS266" s="819"/>
      <c r="AT266" s="819"/>
      <c r="AU266" s="819"/>
      <c r="AV266" s="819"/>
      <c r="AW266" s="819"/>
      <c r="AX266" s="819"/>
      <c r="AY266" s="819"/>
      <c r="AZ266" s="819"/>
      <c r="BA266" s="819"/>
    </row>
    <row r="267" spans="1:53" ht="14.1" customHeight="1">
      <c r="A267" s="819"/>
      <c r="B267" s="819"/>
      <c r="C267" s="2125"/>
      <c r="D267" s="2125"/>
      <c r="E267" s="2125"/>
      <c r="F267" s="2125"/>
      <c r="G267" s="2125"/>
      <c r="H267" s="2125"/>
      <c r="I267" s="2125"/>
      <c r="J267" s="2125"/>
      <c r="K267" s="2125"/>
      <c r="L267" s="2125"/>
      <c r="M267" s="2125"/>
      <c r="N267" s="2125"/>
      <c r="O267" s="2125"/>
      <c r="P267" s="2125"/>
      <c r="Q267" s="2125"/>
      <c r="R267" s="2125"/>
      <c r="S267" s="2125"/>
      <c r="T267" s="2125"/>
      <c r="U267" s="2125"/>
      <c r="V267" s="2125"/>
      <c r="W267" s="2125"/>
      <c r="X267" s="2125"/>
      <c r="Y267" s="2125"/>
      <c r="Z267" s="2125"/>
      <c r="AA267" s="2125"/>
      <c r="AB267" s="2125"/>
      <c r="AC267" s="2125"/>
      <c r="AE267" s="819"/>
      <c r="AF267" s="819"/>
      <c r="AG267" s="819"/>
      <c r="AH267" s="819"/>
      <c r="AI267" s="819"/>
      <c r="AJ267" s="819"/>
      <c r="AK267" s="819"/>
      <c r="AL267" s="819"/>
      <c r="AM267" s="819"/>
      <c r="AN267" s="819"/>
      <c r="AO267" s="819"/>
      <c r="AP267" s="819"/>
      <c r="AQ267" s="819"/>
      <c r="AR267" s="819"/>
      <c r="AS267" s="819"/>
      <c r="AT267" s="819"/>
      <c r="AU267" s="819"/>
      <c r="AV267" s="819"/>
      <c r="AW267" s="819"/>
      <c r="AX267" s="819"/>
      <c r="AY267" s="819"/>
      <c r="AZ267" s="819"/>
      <c r="BA267" s="819"/>
    </row>
    <row r="268" spans="1:53" ht="14.1" customHeight="1">
      <c r="A268" s="819"/>
      <c r="B268" s="819"/>
      <c r="C268" s="2125"/>
      <c r="D268" s="2125"/>
      <c r="E268" s="2125"/>
      <c r="F268" s="2125"/>
      <c r="G268" s="2125"/>
      <c r="H268" s="2125"/>
      <c r="I268" s="2125"/>
      <c r="J268" s="2125"/>
      <c r="K268" s="2125"/>
      <c r="L268" s="2125"/>
      <c r="M268" s="2125"/>
      <c r="N268" s="2125"/>
      <c r="O268" s="2125"/>
      <c r="P268" s="2125"/>
      <c r="Q268" s="2125"/>
      <c r="R268" s="2125"/>
      <c r="S268" s="2125"/>
      <c r="T268" s="2125"/>
      <c r="U268" s="2125"/>
      <c r="V268" s="2125"/>
      <c r="W268" s="2125"/>
      <c r="X268" s="2125"/>
      <c r="Y268" s="2125"/>
      <c r="Z268" s="2125"/>
      <c r="AA268" s="2125"/>
      <c r="AB268" s="2125"/>
      <c r="AC268" s="2125"/>
      <c r="AE268" s="819"/>
      <c r="AF268" s="819"/>
      <c r="AG268" s="819"/>
      <c r="AH268" s="819"/>
      <c r="AI268" s="819"/>
      <c r="AJ268" s="819"/>
      <c r="AK268" s="819"/>
      <c r="AL268" s="819"/>
      <c r="AM268" s="819"/>
      <c r="AN268" s="819"/>
      <c r="AO268" s="819"/>
      <c r="AP268" s="819"/>
      <c r="AQ268" s="819"/>
      <c r="AR268" s="819"/>
      <c r="AS268" s="819"/>
      <c r="AT268" s="819"/>
      <c r="AU268" s="819"/>
      <c r="AV268" s="819"/>
      <c r="AW268" s="819"/>
      <c r="AX268" s="819"/>
      <c r="AY268" s="819"/>
      <c r="AZ268" s="819"/>
      <c r="BA268" s="819"/>
    </row>
    <row r="269" spans="1:53" ht="14.1" customHeight="1">
      <c r="A269" s="819"/>
      <c r="B269" s="819"/>
      <c r="C269" s="2125"/>
      <c r="D269" s="2125"/>
      <c r="E269" s="2125"/>
      <c r="F269" s="2125"/>
      <c r="G269" s="2125"/>
      <c r="H269" s="2125"/>
      <c r="I269" s="2125"/>
      <c r="J269" s="2125"/>
      <c r="K269" s="2125"/>
      <c r="L269" s="2125"/>
      <c r="M269" s="2125"/>
      <c r="N269" s="2125"/>
      <c r="O269" s="2125"/>
      <c r="P269" s="2125"/>
      <c r="Q269" s="2125"/>
      <c r="R269" s="2125"/>
      <c r="S269" s="2125"/>
      <c r="T269" s="2125"/>
      <c r="U269" s="2125"/>
      <c r="V269" s="2125"/>
      <c r="W269" s="2125"/>
      <c r="X269" s="2125"/>
      <c r="Y269" s="2125"/>
      <c r="Z269" s="2125"/>
      <c r="AA269" s="2125"/>
      <c r="AB269" s="2125"/>
      <c r="AC269" s="2125"/>
      <c r="AE269" s="819"/>
      <c r="AF269" s="819"/>
      <c r="AG269" s="819"/>
      <c r="AH269" s="819"/>
      <c r="AI269" s="819"/>
      <c r="AJ269" s="819"/>
      <c r="AK269" s="819"/>
      <c r="AL269" s="819"/>
      <c r="AM269" s="819"/>
      <c r="AN269" s="819"/>
      <c r="AO269" s="819"/>
      <c r="AP269" s="819"/>
      <c r="AQ269" s="819"/>
      <c r="AR269" s="819"/>
      <c r="AS269" s="819"/>
      <c r="AT269" s="819"/>
      <c r="AU269" s="819"/>
      <c r="AV269" s="819"/>
      <c r="AW269" s="819"/>
      <c r="AX269" s="819"/>
      <c r="AY269" s="819"/>
      <c r="AZ269" s="819"/>
      <c r="BA269" s="819"/>
    </row>
    <row r="270" spans="1:53" ht="13.5" customHeight="1" thickBot="1">
      <c r="B270" s="1323"/>
      <c r="C270" s="1323"/>
      <c r="D270" s="1331"/>
      <c r="E270" s="1331"/>
      <c r="F270" s="1331"/>
      <c r="G270" s="1331"/>
      <c r="H270" s="1331"/>
      <c r="I270" s="1331"/>
      <c r="J270" s="1331"/>
      <c r="K270" s="1331"/>
      <c r="L270" s="1331"/>
      <c r="M270" s="1331"/>
      <c r="N270" s="1331"/>
      <c r="O270" s="1331"/>
      <c r="P270" s="1331"/>
      <c r="Q270" s="1331"/>
      <c r="R270" s="1331"/>
      <c r="S270" s="1331"/>
      <c r="T270" s="1331"/>
      <c r="U270" s="1331"/>
      <c r="V270" s="1331"/>
      <c r="W270" s="1331"/>
      <c r="X270" s="1331"/>
      <c r="Y270" s="1331"/>
      <c r="Z270" s="1331"/>
      <c r="AA270" s="1331"/>
      <c r="AB270" s="1331"/>
      <c r="AC270" s="819"/>
      <c r="AE270" s="819"/>
      <c r="AF270" s="819"/>
      <c r="AG270" s="819"/>
      <c r="AH270" s="819"/>
      <c r="AI270" s="819"/>
      <c r="AJ270" s="819"/>
      <c r="AK270" s="819"/>
      <c r="AL270" s="819"/>
      <c r="AM270" s="819"/>
      <c r="AN270" s="819"/>
      <c r="AO270" s="819"/>
      <c r="AP270" s="819"/>
      <c r="AQ270" s="819"/>
      <c r="AR270" s="819"/>
      <c r="AS270" s="819"/>
      <c r="AT270" s="819"/>
      <c r="AU270" s="819"/>
      <c r="AV270" s="819"/>
      <c r="AW270" s="819"/>
      <c r="AX270" s="819"/>
      <c r="AY270" s="819"/>
      <c r="AZ270" s="819"/>
      <c r="BA270" s="819"/>
    </row>
    <row r="271" spans="1:53" ht="13.5" customHeight="1" thickTop="1">
      <c r="B271" s="796"/>
      <c r="C271" s="796"/>
      <c r="D271" s="797"/>
      <c r="E271" s="797"/>
      <c r="F271" s="797"/>
      <c r="G271" s="797"/>
      <c r="H271" s="797"/>
      <c r="I271" s="797"/>
      <c r="J271" s="797"/>
      <c r="K271" s="797"/>
      <c r="L271" s="797"/>
      <c r="M271" s="797"/>
      <c r="N271" s="797"/>
      <c r="O271" s="797"/>
      <c r="P271" s="797"/>
      <c r="Q271" s="797"/>
      <c r="R271" s="797"/>
      <c r="S271" s="797"/>
      <c r="T271" s="797"/>
      <c r="U271" s="797"/>
      <c r="V271" s="1338"/>
      <c r="W271" s="1338"/>
      <c r="X271" s="1338"/>
      <c r="Y271" s="1338"/>
      <c r="Z271" s="1338"/>
      <c r="AA271" s="1338"/>
      <c r="AB271" s="1338"/>
      <c r="AC271" s="819"/>
      <c r="AE271" s="819"/>
      <c r="AF271" s="819"/>
      <c r="AG271" s="819"/>
      <c r="AH271" s="819"/>
      <c r="AI271" s="819"/>
      <c r="AJ271" s="819"/>
      <c r="AK271" s="819"/>
      <c r="AL271" s="819"/>
      <c r="AM271" s="819"/>
      <c r="AN271" s="819"/>
      <c r="AO271" s="819"/>
      <c r="AP271" s="819"/>
      <c r="AQ271" s="819"/>
      <c r="AR271" s="819"/>
      <c r="AS271" s="819"/>
      <c r="AT271" s="819"/>
      <c r="AU271" s="819"/>
      <c r="AV271" s="819"/>
      <c r="AW271" s="819"/>
      <c r="AX271" s="819"/>
      <c r="AY271" s="819"/>
      <c r="AZ271" s="819"/>
      <c r="BA271" s="819"/>
    </row>
    <row r="272" spans="1:53" ht="13.5" customHeight="1">
      <c r="B272" s="796"/>
      <c r="C272" s="796"/>
      <c r="D272" s="797"/>
      <c r="E272" s="797"/>
      <c r="F272" s="797"/>
      <c r="G272" s="2112" t="s">
        <v>276</v>
      </c>
      <c r="H272" s="2112"/>
      <c r="I272" s="2112"/>
      <c r="J272" s="2112"/>
      <c r="K272" s="797"/>
      <c r="L272" s="2112" t="s">
        <v>277</v>
      </c>
      <c r="M272" s="2112"/>
      <c r="N272" s="2112"/>
      <c r="O272" s="2112"/>
      <c r="P272" s="797"/>
      <c r="Q272" s="797"/>
      <c r="R272" s="797"/>
      <c r="S272" s="797"/>
      <c r="T272" s="797"/>
      <c r="U272" s="797"/>
      <c r="V272" s="1338"/>
      <c r="W272" s="1338"/>
      <c r="X272" s="1338"/>
      <c r="Y272" s="1338"/>
      <c r="Z272" s="1338"/>
      <c r="AA272" s="1338"/>
      <c r="AB272" s="1338"/>
      <c r="AC272" s="819"/>
      <c r="AE272" s="819"/>
      <c r="AF272" s="819"/>
      <c r="AG272" s="819"/>
      <c r="AH272" s="819"/>
      <c r="AI272" s="819"/>
      <c r="AJ272" s="819"/>
      <c r="AK272" s="819"/>
      <c r="AL272" s="819"/>
      <c r="AM272" s="819"/>
      <c r="AN272" s="819"/>
      <c r="AO272" s="819"/>
      <c r="AP272" s="819"/>
      <c r="AQ272" s="819"/>
      <c r="AR272" s="819"/>
      <c r="AS272" s="819"/>
      <c r="AT272" s="819"/>
      <c r="AU272" s="819"/>
      <c r="AV272" s="819"/>
      <c r="AW272" s="819"/>
      <c r="AX272" s="819"/>
      <c r="AY272" s="819"/>
      <c r="AZ272" s="819"/>
      <c r="BA272" s="819"/>
    </row>
    <row r="273" spans="1:53" ht="13.5" customHeight="1">
      <c r="B273" s="796"/>
      <c r="C273" s="796"/>
      <c r="D273" s="796"/>
      <c r="E273" s="796"/>
      <c r="F273" s="796"/>
      <c r="G273" s="796"/>
      <c r="H273" s="798" t="s">
        <v>1497</v>
      </c>
      <c r="I273" s="798"/>
      <c r="J273" s="796"/>
      <c r="K273" s="796"/>
      <c r="L273" s="798"/>
      <c r="M273" s="798" t="s">
        <v>1497</v>
      </c>
      <c r="N273" s="798"/>
      <c r="O273" s="798"/>
      <c r="P273" s="796"/>
      <c r="Q273" s="796"/>
      <c r="R273" s="796"/>
      <c r="S273" s="796"/>
      <c r="T273" s="796"/>
      <c r="U273" s="796"/>
      <c r="V273" s="1338"/>
      <c r="W273" s="1338"/>
      <c r="X273" s="1338"/>
      <c r="Y273" s="1338"/>
      <c r="Z273" s="1338"/>
      <c r="AA273" s="1338"/>
      <c r="AB273" s="1338"/>
      <c r="AC273" s="819"/>
      <c r="AE273" s="819"/>
      <c r="AF273" s="819"/>
      <c r="AG273" s="819"/>
      <c r="AH273" s="819"/>
      <c r="AI273" s="819"/>
      <c r="AJ273" s="819"/>
      <c r="AK273" s="819"/>
      <c r="AL273" s="819"/>
      <c r="AM273" s="819"/>
      <c r="AN273" s="819"/>
      <c r="AO273" s="819"/>
      <c r="AP273" s="819"/>
      <c r="AQ273" s="819"/>
      <c r="AR273" s="819"/>
      <c r="AS273" s="819"/>
      <c r="AT273" s="819"/>
      <c r="AU273" s="819"/>
      <c r="AV273" s="819"/>
      <c r="AW273" s="819"/>
      <c r="AX273" s="819"/>
      <c r="AY273" s="819"/>
      <c r="AZ273" s="819"/>
      <c r="BA273" s="819"/>
    </row>
    <row r="274" spans="1:53" ht="13.5" customHeight="1">
      <c r="B274" s="796"/>
      <c r="C274" s="814"/>
      <c r="D274" s="814"/>
      <c r="E274" s="796"/>
      <c r="F274" s="796"/>
      <c r="G274" s="796"/>
      <c r="H274" s="810"/>
      <c r="I274" s="811"/>
      <c r="J274" s="796"/>
      <c r="K274" s="796"/>
      <c r="L274" s="796"/>
      <c r="M274" s="810"/>
      <c r="N274" s="811"/>
      <c r="O274" s="796"/>
      <c r="P274" s="796"/>
      <c r="Q274" s="811"/>
      <c r="R274" s="811"/>
      <c r="S274" s="796"/>
      <c r="T274" s="796"/>
      <c r="U274" s="796"/>
      <c r="V274" s="1338"/>
      <c r="W274" s="1338"/>
      <c r="X274" s="1338"/>
      <c r="Y274" s="1338"/>
      <c r="Z274" s="1338"/>
      <c r="AA274" s="1338"/>
      <c r="AB274" s="1338"/>
      <c r="AC274" s="819"/>
      <c r="AE274" s="819"/>
      <c r="AF274" s="819"/>
      <c r="AG274" s="819"/>
      <c r="AH274" s="819"/>
      <c r="AI274" s="819"/>
      <c r="AJ274" s="819"/>
      <c r="AK274" s="819"/>
      <c r="AL274" s="819"/>
      <c r="AM274" s="819"/>
      <c r="AN274" s="819"/>
      <c r="AO274" s="819"/>
      <c r="AP274" s="819"/>
      <c r="AQ274" s="819"/>
      <c r="AR274" s="819"/>
      <c r="AS274" s="819"/>
      <c r="AT274" s="819"/>
      <c r="AU274" s="819"/>
      <c r="AV274" s="819"/>
      <c r="AW274" s="819"/>
      <c r="AX274" s="819"/>
      <c r="AY274" s="819"/>
      <c r="AZ274" s="819"/>
      <c r="BA274" s="819"/>
    </row>
    <row r="275" spans="1:53" ht="13.5" customHeight="1">
      <c r="B275" s="796"/>
      <c r="C275" s="814"/>
      <c r="D275" s="814"/>
      <c r="E275" s="796"/>
      <c r="F275" s="796"/>
      <c r="G275" s="796"/>
      <c r="H275" s="812"/>
      <c r="I275" s="815"/>
      <c r="J275" s="796"/>
      <c r="K275" s="796"/>
      <c r="L275" s="796"/>
      <c r="M275" s="812"/>
      <c r="N275" s="815"/>
      <c r="O275" s="796"/>
      <c r="P275" s="796"/>
      <c r="Q275" s="815"/>
      <c r="R275" s="815"/>
      <c r="S275" s="796"/>
      <c r="T275" s="796"/>
      <c r="U275" s="796"/>
      <c r="V275" s="1338"/>
      <c r="W275" s="1338"/>
      <c r="X275" s="1338"/>
      <c r="Y275" s="1338"/>
      <c r="Z275" s="1338"/>
      <c r="AA275" s="1338"/>
      <c r="AB275" s="1338"/>
      <c r="AC275" s="819"/>
      <c r="AE275" s="819"/>
      <c r="AF275" s="819"/>
      <c r="AG275" s="819"/>
      <c r="AH275" s="819"/>
      <c r="AI275" s="819"/>
      <c r="AJ275" s="819"/>
      <c r="AK275" s="819"/>
      <c r="AL275" s="819"/>
      <c r="AM275" s="819"/>
      <c r="AN275" s="819"/>
      <c r="AO275" s="819"/>
      <c r="AP275" s="819"/>
      <c r="AQ275" s="819"/>
      <c r="AR275" s="819"/>
      <c r="AS275" s="819"/>
      <c r="AT275" s="819"/>
      <c r="AU275" s="819"/>
      <c r="AV275" s="819"/>
      <c r="AW275" s="819"/>
      <c r="AX275" s="819"/>
      <c r="AY275" s="819"/>
      <c r="AZ275" s="819"/>
      <c r="BA275" s="819"/>
    </row>
    <row r="276" spans="1:53" ht="13.5" customHeight="1">
      <c r="B276" s="796"/>
      <c r="C276" s="814"/>
      <c r="D276" s="814"/>
      <c r="E276" s="796"/>
      <c r="F276" s="796" t="s">
        <v>1498</v>
      </c>
      <c r="G276" s="796"/>
      <c r="H276" s="815"/>
      <c r="I276" s="815"/>
      <c r="J276" s="796"/>
      <c r="K276" s="796"/>
      <c r="L276" s="796"/>
      <c r="M276" s="815"/>
      <c r="N276" s="815"/>
      <c r="O276" s="796"/>
      <c r="P276" s="796"/>
      <c r="Q276" s="815"/>
      <c r="R276" s="815"/>
      <c r="S276" s="796"/>
      <c r="T276" s="796"/>
      <c r="U276" s="796"/>
      <c r="V276" s="1338"/>
      <c r="W276" s="1338"/>
      <c r="X276" s="1338"/>
      <c r="Y276" s="1338"/>
      <c r="Z276" s="1338"/>
      <c r="AA276" s="1338"/>
      <c r="AB276" s="1338"/>
      <c r="AC276" s="819"/>
      <c r="AE276" s="819"/>
      <c r="AF276" s="819"/>
      <c r="AG276" s="819"/>
      <c r="AH276" s="819"/>
      <c r="AI276" s="819"/>
      <c r="AJ276" s="819"/>
      <c r="AK276" s="819"/>
      <c r="AL276" s="819"/>
      <c r="AM276" s="819"/>
      <c r="AN276" s="819"/>
      <c r="AO276" s="819"/>
      <c r="AP276" s="819"/>
      <c r="AQ276" s="819"/>
      <c r="AR276" s="819"/>
      <c r="AS276" s="819"/>
      <c r="AT276" s="819"/>
      <c r="AU276" s="819"/>
      <c r="AV276" s="819"/>
      <c r="AW276" s="819"/>
      <c r="AX276" s="819"/>
      <c r="AY276" s="819"/>
      <c r="AZ276" s="819"/>
      <c r="BA276" s="819"/>
    </row>
    <row r="277" spans="1:53" ht="13.5" customHeight="1">
      <c r="B277" s="796"/>
      <c r="C277" s="814"/>
      <c r="D277" s="814"/>
      <c r="E277" s="796"/>
      <c r="F277" s="796"/>
      <c r="G277" s="796"/>
      <c r="H277" s="815"/>
      <c r="I277" s="815"/>
      <c r="J277" s="796"/>
      <c r="K277" s="796"/>
      <c r="L277" s="796"/>
      <c r="M277" s="815"/>
      <c r="N277" s="815"/>
      <c r="O277" s="796"/>
      <c r="P277" s="796"/>
      <c r="Q277" s="815"/>
      <c r="R277" s="815"/>
      <c r="S277" s="796"/>
      <c r="T277" s="796"/>
      <c r="U277" s="796"/>
      <c r="V277" s="1338"/>
      <c r="W277" s="1338"/>
      <c r="X277" s="1338"/>
      <c r="Y277" s="1338"/>
      <c r="Z277" s="1338"/>
      <c r="AA277" s="1338"/>
      <c r="AB277" s="1338"/>
      <c r="AC277" s="819"/>
      <c r="AE277" s="819"/>
      <c r="AF277" s="819"/>
      <c r="AG277" s="819"/>
      <c r="AH277" s="819"/>
      <c r="AI277" s="819"/>
      <c r="AJ277" s="819"/>
      <c r="AK277" s="819"/>
      <c r="AL277" s="819"/>
      <c r="AM277" s="819"/>
      <c r="AN277" s="819"/>
      <c r="AO277" s="819"/>
      <c r="AP277" s="819"/>
      <c r="AQ277" s="819"/>
      <c r="AR277" s="819"/>
      <c r="AS277" s="819"/>
      <c r="AT277" s="819"/>
      <c r="AU277" s="819"/>
      <c r="AV277" s="819"/>
      <c r="AW277" s="819"/>
      <c r="AX277" s="819"/>
      <c r="AY277" s="819"/>
      <c r="AZ277" s="819"/>
      <c r="BA277" s="819"/>
    </row>
    <row r="278" spans="1:53" ht="13.5" customHeight="1">
      <c r="B278" s="796"/>
      <c r="C278" s="814"/>
      <c r="D278" s="814"/>
      <c r="E278" s="796"/>
      <c r="F278" s="796"/>
      <c r="G278" s="796"/>
      <c r="H278" s="796"/>
      <c r="I278" s="796"/>
      <c r="J278" s="796"/>
      <c r="K278" s="796"/>
      <c r="L278" s="796"/>
      <c r="M278" s="796"/>
      <c r="N278" s="796"/>
      <c r="O278" s="796"/>
      <c r="P278" s="796"/>
      <c r="Q278" s="796"/>
      <c r="R278" s="796"/>
      <c r="S278" s="796"/>
      <c r="T278" s="796"/>
      <c r="U278" s="796"/>
      <c r="V278" s="1338"/>
      <c r="W278" s="1338"/>
      <c r="X278" s="1338"/>
      <c r="Y278" s="1338"/>
      <c r="Z278" s="1338"/>
      <c r="AA278" s="1338"/>
      <c r="AB278" s="1338"/>
      <c r="AC278" s="819"/>
      <c r="AE278" s="819"/>
      <c r="AF278" s="819"/>
      <c r="AG278" s="819"/>
      <c r="AH278" s="819"/>
      <c r="AI278" s="819"/>
      <c r="AJ278" s="819"/>
      <c r="AK278" s="819"/>
      <c r="AL278" s="819"/>
      <c r="AM278" s="819"/>
      <c r="AN278" s="819"/>
      <c r="AO278" s="819"/>
      <c r="AP278" s="819"/>
      <c r="AQ278" s="819"/>
      <c r="AR278" s="819"/>
      <c r="AS278" s="819"/>
      <c r="AT278" s="819"/>
      <c r="AU278" s="819"/>
      <c r="AV278" s="819"/>
      <c r="AW278" s="819"/>
      <c r="AX278" s="819"/>
      <c r="AY278" s="819"/>
      <c r="AZ278" s="819"/>
      <c r="BA278" s="819"/>
    </row>
    <row r="279" spans="1:53" ht="13.5" customHeight="1">
      <c r="B279" s="796"/>
      <c r="C279" s="814"/>
      <c r="D279" s="814"/>
      <c r="E279" s="796"/>
      <c r="F279" s="796"/>
      <c r="G279" s="796"/>
      <c r="H279" s="801"/>
      <c r="I279" s="796"/>
      <c r="J279" s="796"/>
      <c r="K279" s="796"/>
      <c r="L279" s="796"/>
      <c r="M279" s="801"/>
      <c r="N279" s="796"/>
      <c r="O279" s="796"/>
      <c r="P279" s="796"/>
      <c r="Q279" s="796"/>
      <c r="R279" s="796"/>
      <c r="S279" s="796"/>
      <c r="T279" s="796"/>
      <c r="U279" s="796"/>
      <c r="V279" s="1338"/>
      <c r="W279" s="1338"/>
      <c r="X279" s="1338"/>
      <c r="Y279" s="1338"/>
      <c r="Z279" s="1338"/>
      <c r="AA279" s="1338"/>
      <c r="AB279" s="1338"/>
      <c r="AC279" s="819"/>
      <c r="AE279" s="819"/>
      <c r="AF279" s="819"/>
      <c r="AG279" s="819"/>
      <c r="AH279" s="819"/>
      <c r="AI279" s="819"/>
      <c r="AJ279" s="819"/>
      <c r="AK279" s="819"/>
      <c r="AL279" s="819"/>
      <c r="AM279" s="819"/>
      <c r="AN279" s="819"/>
      <c r="AO279" s="819"/>
      <c r="AP279" s="819"/>
      <c r="AQ279" s="819"/>
      <c r="AR279" s="819"/>
      <c r="AS279" s="819"/>
      <c r="AT279" s="819"/>
      <c r="AU279" s="819"/>
      <c r="AV279" s="819"/>
      <c r="AW279" s="819"/>
      <c r="AX279" s="819"/>
      <c r="AY279" s="819"/>
      <c r="AZ279" s="819"/>
      <c r="BA279" s="819"/>
    </row>
    <row r="280" spans="1:53" ht="13.5" customHeight="1" thickBot="1">
      <c r="B280" s="796"/>
      <c r="C280" s="814"/>
      <c r="D280" s="814"/>
      <c r="E280" s="789" t="s">
        <v>1499</v>
      </c>
      <c r="F280" s="796"/>
      <c r="G280" s="796"/>
      <c r="H280" s="801"/>
      <c r="I280" s="796"/>
      <c r="J280" s="2106"/>
      <c r="K280" s="2106"/>
      <c r="L280" s="2106"/>
      <c r="M280" s="796"/>
      <c r="N280" s="816"/>
      <c r="O280" s="796"/>
      <c r="P280" s="796"/>
      <c r="Q280" s="796"/>
      <c r="R280" s="796"/>
      <c r="S280" s="796"/>
      <c r="T280" s="796"/>
      <c r="U280" s="796"/>
      <c r="V280" s="1338"/>
      <c r="W280" s="1338"/>
      <c r="X280" s="1338"/>
      <c r="Y280" s="1338"/>
      <c r="Z280" s="1338"/>
      <c r="AA280" s="1338"/>
      <c r="AB280" s="1338"/>
      <c r="AC280" s="819"/>
      <c r="AE280" s="819"/>
      <c r="AF280" s="819"/>
      <c r="AG280" s="819"/>
      <c r="AH280" s="819"/>
      <c r="AI280" s="819"/>
      <c r="AJ280" s="819"/>
      <c r="AK280" s="819"/>
      <c r="AL280" s="819"/>
      <c r="AM280" s="819"/>
      <c r="AN280" s="819"/>
      <c r="AO280" s="819"/>
      <c r="AP280" s="819"/>
      <c r="AQ280" s="819"/>
      <c r="AR280" s="819"/>
      <c r="AS280" s="819"/>
      <c r="AT280" s="819"/>
      <c r="AU280" s="819"/>
      <c r="AV280" s="819"/>
      <c r="AW280" s="819"/>
      <c r="AX280" s="819"/>
      <c r="AY280" s="819"/>
      <c r="AZ280" s="819"/>
      <c r="BA280" s="819"/>
    </row>
    <row r="281" spans="1:53" ht="13.5" customHeight="1" thickTop="1" thickBot="1">
      <c r="B281" s="796"/>
      <c r="C281" s="796"/>
      <c r="D281" s="796"/>
      <c r="E281" s="802"/>
      <c r="F281" s="2017" t="s">
        <v>69</v>
      </c>
      <c r="G281" s="803"/>
      <c r="H281" s="804"/>
      <c r="I281" s="805"/>
      <c r="J281" s="802"/>
      <c r="K281" s="2108" t="s">
        <v>1473</v>
      </c>
      <c r="L281" s="802"/>
      <c r="M281" s="804"/>
      <c r="N281" s="805"/>
      <c r="O281" s="802"/>
      <c r="P281" s="2108" t="s">
        <v>1475</v>
      </c>
      <c r="Q281" s="805"/>
      <c r="R281" s="811"/>
      <c r="S281" s="814"/>
      <c r="T281" s="796"/>
      <c r="U281" s="796"/>
      <c r="V281" s="1338"/>
      <c r="W281" s="1338"/>
      <c r="X281" s="1338"/>
      <c r="Y281" s="1338"/>
      <c r="Z281" s="1338"/>
      <c r="AA281" s="1338"/>
      <c r="AB281" s="1338"/>
      <c r="AC281" s="819"/>
      <c r="AE281" s="819"/>
      <c r="AF281" s="819"/>
      <c r="AG281" s="819"/>
      <c r="AH281" s="819"/>
      <c r="AI281" s="819"/>
      <c r="AJ281" s="819"/>
      <c r="AK281" s="819"/>
      <c r="AL281" s="819"/>
      <c r="AM281" s="819"/>
      <c r="AN281" s="819"/>
      <c r="AO281" s="819"/>
      <c r="AP281" s="819"/>
      <c r="AQ281" s="819"/>
      <c r="AR281" s="819"/>
      <c r="AS281" s="819"/>
      <c r="AT281" s="819"/>
      <c r="AU281" s="819"/>
      <c r="AV281" s="819"/>
      <c r="AW281" s="819"/>
      <c r="AX281" s="819"/>
      <c r="AY281" s="819"/>
      <c r="AZ281" s="819"/>
      <c r="BA281" s="819"/>
    </row>
    <row r="282" spans="1:53" ht="14.1" customHeight="1" thickTop="1" thickBot="1">
      <c r="A282" s="819"/>
      <c r="B282" s="796"/>
      <c r="C282" s="796"/>
      <c r="D282" s="796"/>
      <c r="E282" s="806"/>
      <c r="F282" s="2018"/>
      <c r="G282" s="796"/>
      <c r="H282" s="796"/>
      <c r="I282" s="796"/>
      <c r="J282" s="796"/>
      <c r="K282" s="2109"/>
      <c r="L282" s="796"/>
      <c r="M282" s="796"/>
      <c r="N282" s="796"/>
      <c r="O282" s="796"/>
      <c r="P282" s="2109"/>
      <c r="Q282" s="796"/>
      <c r="R282" s="816"/>
      <c r="S282" s="796"/>
      <c r="T282" s="796"/>
      <c r="U282" s="796"/>
      <c r="V282" s="1342"/>
      <c r="W282" s="1342"/>
      <c r="X282" s="1342"/>
      <c r="Y282" s="1342"/>
      <c r="Z282" s="1342"/>
      <c r="AA282" s="1342"/>
      <c r="AB282" s="1401"/>
      <c r="AC282" s="819"/>
      <c r="AE282" s="819"/>
      <c r="AF282" s="819"/>
      <c r="AG282" s="819"/>
      <c r="AH282" s="819"/>
      <c r="AI282" s="819"/>
      <c r="AJ282" s="819"/>
      <c r="AK282" s="819"/>
      <c r="AL282" s="819"/>
      <c r="AM282" s="819"/>
      <c r="AN282" s="819"/>
      <c r="AO282" s="819"/>
      <c r="AP282" s="819"/>
      <c r="AQ282" s="819"/>
      <c r="AR282" s="819"/>
      <c r="AS282" s="819"/>
      <c r="AT282" s="819"/>
      <c r="AU282" s="819"/>
      <c r="AV282" s="819"/>
      <c r="AW282" s="819"/>
      <c r="AX282" s="819"/>
      <c r="AY282" s="819"/>
      <c r="AZ282" s="819"/>
      <c r="BA282" s="819"/>
    </row>
    <row r="283" spans="1:53" ht="14.1" customHeight="1" thickTop="1" thickBot="1">
      <c r="A283" s="819"/>
      <c r="B283" s="2103" t="s">
        <v>349</v>
      </c>
      <c r="C283" s="2114" t="s">
        <v>334</v>
      </c>
      <c r="D283" s="2118"/>
      <c r="E283" s="814"/>
      <c r="F283" s="814"/>
      <c r="G283" s="796"/>
      <c r="H283" s="796"/>
      <c r="I283" s="796"/>
      <c r="J283" s="796"/>
      <c r="K283" s="796"/>
      <c r="L283" s="796"/>
      <c r="M283" s="796"/>
      <c r="N283" s="796"/>
      <c r="O283" s="796"/>
      <c r="P283" s="796"/>
      <c r="Q283" s="796"/>
      <c r="R283" s="2116" t="s">
        <v>341</v>
      </c>
      <c r="S283" s="2117"/>
      <c r="T283" s="796"/>
      <c r="U283" s="796"/>
      <c r="V283" s="1342"/>
      <c r="W283" s="1342"/>
      <c r="X283" s="1342"/>
      <c r="Y283" s="1342"/>
      <c r="Z283" s="1342"/>
      <c r="AA283" s="1342"/>
      <c r="AB283" s="1401"/>
      <c r="AC283" s="819"/>
      <c r="AE283" s="819"/>
      <c r="AF283" s="819"/>
      <c r="AG283" s="819"/>
      <c r="AH283" s="819"/>
      <c r="AI283" s="819"/>
      <c r="AJ283" s="819"/>
      <c r="AK283" s="819"/>
      <c r="AL283" s="819"/>
      <c r="AM283" s="819"/>
      <c r="AN283" s="819"/>
      <c r="AO283" s="819"/>
      <c r="AP283" s="819"/>
      <c r="AQ283" s="819"/>
      <c r="AR283" s="819"/>
      <c r="AS283" s="819"/>
      <c r="AT283" s="819"/>
      <c r="AU283" s="819"/>
      <c r="AV283" s="819"/>
      <c r="AW283" s="819"/>
      <c r="AX283" s="819"/>
      <c r="AY283" s="819"/>
      <c r="AZ283" s="819"/>
      <c r="BA283" s="819"/>
    </row>
    <row r="284" spans="1:53" ht="14.1" customHeight="1" thickTop="1" thickBot="1">
      <c r="A284" s="819"/>
      <c r="B284" s="2103"/>
      <c r="C284" s="807"/>
      <c r="D284" s="792"/>
      <c r="E284" s="796"/>
      <c r="F284" s="796"/>
      <c r="G284" s="796"/>
      <c r="H284" s="796"/>
      <c r="I284" s="796"/>
      <c r="J284" s="796"/>
      <c r="K284" s="796"/>
      <c r="L284" s="796"/>
      <c r="M284" s="796"/>
      <c r="N284" s="796"/>
      <c r="O284" s="796"/>
      <c r="P284" s="796"/>
      <c r="Q284" s="799"/>
      <c r="R284" s="2110" t="s">
        <v>1508</v>
      </c>
      <c r="S284" s="2110"/>
      <c r="T284" s="796"/>
      <c r="U284" s="796"/>
      <c r="V284" s="1342"/>
      <c r="W284" s="1342"/>
      <c r="X284" s="1342"/>
      <c r="Y284" s="1342"/>
      <c r="Z284" s="1342"/>
      <c r="AA284" s="1342"/>
      <c r="AB284" s="1401"/>
      <c r="AC284" s="819"/>
      <c r="AE284" s="819"/>
      <c r="AF284" s="819"/>
      <c r="AG284" s="819"/>
      <c r="AH284" s="819"/>
      <c r="AI284" s="819"/>
      <c r="AJ284" s="819"/>
      <c r="AK284" s="819"/>
      <c r="AL284" s="819"/>
      <c r="AM284" s="819"/>
      <c r="AN284" s="819"/>
      <c r="AO284" s="819"/>
      <c r="AP284" s="819"/>
      <c r="AQ284" s="819"/>
      <c r="AR284" s="819"/>
      <c r="AS284" s="819"/>
      <c r="AT284" s="819"/>
      <c r="AU284" s="819"/>
      <c r="AV284" s="819"/>
      <c r="AW284" s="819"/>
      <c r="AX284" s="819"/>
      <c r="AY284" s="819"/>
      <c r="AZ284" s="819"/>
      <c r="BA284" s="819"/>
    </row>
    <row r="285" spans="1:53" ht="14.1" customHeight="1" thickTop="1" thickBot="1">
      <c r="A285" s="819"/>
      <c r="B285" s="796"/>
      <c r="C285" s="796"/>
      <c r="D285" s="801"/>
      <c r="E285" s="808"/>
      <c r="F285" s="2022" t="s">
        <v>1481</v>
      </c>
      <c r="G285" s="809"/>
      <c r="H285" s="809"/>
      <c r="I285" s="809"/>
      <c r="J285" s="809"/>
      <c r="K285" s="2108" t="s">
        <v>1479</v>
      </c>
      <c r="L285" s="809"/>
      <c r="M285" s="809"/>
      <c r="N285" s="809"/>
      <c r="O285" s="809"/>
      <c r="P285" s="2108" t="s">
        <v>1478</v>
      </c>
      <c r="Q285" s="800"/>
      <c r="R285" s="2111"/>
      <c r="S285" s="2111"/>
      <c r="T285" s="796"/>
      <c r="U285" s="796"/>
      <c r="V285" s="1342"/>
      <c r="W285" s="1342"/>
      <c r="X285" s="1342"/>
      <c r="Y285" s="1342"/>
      <c r="Z285" s="1342"/>
      <c r="AA285" s="1342"/>
      <c r="AB285" s="1401"/>
      <c r="AC285" s="819"/>
      <c r="AE285" s="819"/>
      <c r="AF285" s="819"/>
      <c r="AG285" s="819"/>
      <c r="AH285" s="819"/>
      <c r="AI285" s="819"/>
      <c r="AJ285" s="819"/>
      <c r="AK285" s="819"/>
      <c r="AL285" s="819"/>
      <c r="AM285" s="819"/>
      <c r="AN285" s="819"/>
      <c r="AO285" s="819"/>
      <c r="AP285" s="819"/>
      <c r="AQ285" s="819"/>
      <c r="AR285" s="819"/>
      <c r="AS285" s="819"/>
      <c r="AT285" s="819"/>
      <c r="AU285" s="819"/>
      <c r="AV285" s="819"/>
      <c r="AW285" s="819"/>
      <c r="AX285" s="819"/>
      <c r="AY285" s="819"/>
      <c r="AZ285" s="819"/>
      <c r="BA285" s="819"/>
    </row>
    <row r="286" spans="1:53" ht="14.1" customHeight="1" thickTop="1" thickBot="1">
      <c r="A286" s="819"/>
      <c r="B286" s="796"/>
      <c r="C286" s="796"/>
      <c r="D286" s="796"/>
      <c r="E286" s="796"/>
      <c r="F286" s="2023"/>
      <c r="G286" s="796"/>
      <c r="H286" s="801"/>
      <c r="I286" s="796"/>
      <c r="J286" s="796"/>
      <c r="K286" s="2109"/>
      <c r="L286" s="796"/>
      <c r="M286" s="801"/>
      <c r="N286" s="796"/>
      <c r="O286" s="796"/>
      <c r="P286" s="2109"/>
      <c r="Q286" s="796"/>
      <c r="R286" s="2111"/>
      <c r="S286" s="2111"/>
      <c r="T286" s="796"/>
      <c r="U286" s="796"/>
      <c r="V286" s="1342"/>
      <c r="W286" s="1342"/>
      <c r="X286" s="1342"/>
      <c r="Y286" s="1342"/>
      <c r="Z286" s="1342"/>
      <c r="AA286" s="1342"/>
      <c r="AB286" s="1401"/>
      <c r="AC286" s="819"/>
      <c r="AE286" s="819"/>
      <c r="AF286" s="819"/>
      <c r="AG286" s="819"/>
      <c r="AH286" s="819"/>
      <c r="AI286" s="819"/>
      <c r="AJ286" s="819"/>
      <c r="AK286" s="819"/>
      <c r="AL286" s="819"/>
      <c r="AM286" s="819"/>
      <c r="AN286" s="819"/>
      <c r="AO286" s="819"/>
      <c r="AP286" s="819"/>
      <c r="AQ286" s="819"/>
      <c r="AR286" s="819"/>
      <c r="AS286" s="819"/>
      <c r="AT286" s="819"/>
      <c r="AU286" s="819"/>
      <c r="AV286" s="819"/>
      <c r="AW286" s="819"/>
      <c r="AX286" s="819"/>
      <c r="AY286" s="819"/>
      <c r="AZ286" s="819"/>
      <c r="BA286" s="819"/>
    </row>
    <row r="287" spans="1:53" ht="14.1" customHeight="1">
      <c r="A287" s="819"/>
      <c r="B287" s="796"/>
      <c r="C287" s="796"/>
      <c r="D287" s="796"/>
      <c r="E287" s="796"/>
      <c r="F287" s="796"/>
      <c r="G287" s="796"/>
      <c r="H287" s="801"/>
      <c r="I287" s="796"/>
      <c r="J287" s="796"/>
      <c r="K287" s="796"/>
      <c r="L287" s="796"/>
      <c r="M287" s="801"/>
      <c r="N287" s="796"/>
      <c r="O287" s="796"/>
      <c r="P287" s="796"/>
      <c r="Q287" s="796"/>
      <c r="R287" s="796"/>
      <c r="S287" s="796"/>
      <c r="T287" s="796"/>
      <c r="U287" s="796"/>
      <c r="V287" s="1342"/>
      <c r="W287" s="1342"/>
      <c r="X287" s="1342"/>
      <c r="Y287" s="1342"/>
      <c r="Z287" s="1342"/>
      <c r="AA287" s="1342"/>
      <c r="AB287" s="1401"/>
      <c r="AC287" s="819"/>
      <c r="AE287" s="819"/>
      <c r="AF287" s="819"/>
      <c r="AG287" s="819"/>
      <c r="AH287" s="819"/>
      <c r="AI287" s="819"/>
      <c r="AJ287" s="819"/>
      <c r="AK287" s="819"/>
      <c r="AL287" s="819"/>
      <c r="AM287" s="819"/>
      <c r="AN287" s="819"/>
      <c r="AO287" s="819"/>
      <c r="AP287" s="819"/>
      <c r="AQ287" s="819"/>
      <c r="AR287" s="819"/>
      <c r="AS287" s="819"/>
      <c r="AT287" s="819"/>
      <c r="AU287" s="819"/>
      <c r="AV287" s="819"/>
      <c r="AW287" s="819"/>
      <c r="AX287" s="819"/>
      <c r="AY287" s="819"/>
      <c r="AZ287" s="819"/>
      <c r="BA287" s="819"/>
    </row>
    <row r="288" spans="1:53" ht="14.1" customHeight="1">
      <c r="A288" s="819"/>
      <c r="B288" s="796"/>
      <c r="C288" s="796"/>
      <c r="D288" s="796"/>
      <c r="E288" s="796"/>
      <c r="F288" s="796"/>
      <c r="G288" s="796"/>
      <c r="H288" s="810"/>
      <c r="I288" s="811"/>
      <c r="J288" s="796"/>
      <c r="K288" s="796"/>
      <c r="L288" s="796"/>
      <c r="M288" s="810"/>
      <c r="N288" s="811"/>
      <c r="O288" s="796"/>
      <c r="P288" s="796"/>
      <c r="Q288" s="811"/>
      <c r="R288" s="811"/>
      <c r="S288" s="796"/>
      <c r="T288" s="796"/>
      <c r="U288" s="796"/>
      <c r="V288" s="1342"/>
      <c r="W288" s="1342"/>
      <c r="X288" s="1342"/>
      <c r="Y288" s="1342"/>
      <c r="Z288" s="1342"/>
      <c r="AA288" s="1342"/>
      <c r="AB288" s="1401"/>
      <c r="AC288" s="819"/>
      <c r="AE288" s="819"/>
      <c r="AF288" s="819"/>
      <c r="AG288" s="819"/>
      <c r="AH288" s="819"/>
      <c r="AI288" s="819"/>
      <c r="AJ288" s="819"/>
      <c r="AK288" s="819"/>
      <c r="AL288" s="819"/>
      <c r="AM288" s="819"/>
      <c r="AN288" s="819"/>
      <c r="AO288" s="819"/>
      <c r="AP288" s="819"/>
      <c r="AQ288" s="819"/>
      <c r="AR288" s="819"/>
      <c r="AS288" s="819"/>
      <c r="AT288" s="819"/>
      <c r="AU288" s="819"/>
      <c r="AV288" s="819"/>
      <c r="AW288" s="819"/>
      <c r="AX288" s="819"/>
      <c r="AY288" s="819"/>
      <c r="AZ288" s="819"/>
      <c r="BA288" s="819"/>
    </row>
    <row r="289" spans="2:53" ht="14.1" customHeight="1">
      <c r="B289" s="796"/>
      <c r="C289" s="813"/>
      <c r="D289" s="796"/>
      <c r="E289" s="796"/>
      <c r="F289" s="796"/>
      <c r="G289" s="796"/>
      <c r="H289" s="2115" t="s">
        <v>1480</v>
      </c>
      <c r="I289" s="2115"/>
      <c r="J289" s="796"/>
      <c r="K289" s="796"/>
      <c r="L289" s="796"/>
      <c r="M289" s="2115" t="s">
        <v>338</v>
      </c>
      <c r="N289" s="2115"/>
      <c r="O289" s="796"/>
      <c r="P289" s="796"/>
      <c r="Q289" s="2115"/>
      <c r="R289" s="2115"/>
      <c r="S289" s="796"/>
      <c r="T289" s="796"/>
      <c r="U289" s="796"/>
      <c r="V289" s="1342"/>
      <c r="W289" s="1342"/>
      <c r="X289" s="1342"/>
      <c r="Y289" s="1342"/>
      <c r="Z289" s="1342"/>
      <c r="AA289" s="1342"/>
      <c r="AB289" s="1401"/>
      <c r="AC289" s="819"/>
      <c r="AE289" s="819"/>
      <c r="AF289" s="819"/>
      <c r="AG289" s="819"/>
      <c r="AH289" s="819"/>
      <c r="AI289" s="819"/>
      <c r="AJ289" s="819"/>
      <c r="AK289" s="819"/>
      <c r="AL289" s="819"/>
      <c r="AM289" s="819"/>
      <c r="AN289" s="819"/>
      <c r="AO289" s="819"/>
      <c r="AP289" s="819"/>
      <c r="AQ289" s="819"/>
      <c r="AR289" s="819"/>
      <c r="AS289" s="819"/>
      <c r="AT289" s="819"/>
      <c r="AU289" s="819"/>
      <c r="AV289" s="819"/>
      <c r="AW289" s="819"/>
      <c r="AX289" s="819"/>
      <c r="AY289" s="819"/>
      <c r="AZ289" s="819"/>
      <c r="BA289" s="819"/>
    </row>
    <row r="290" spans="2:53" ht="14.1" customHeight="1">
      <c r="B290" s="819"/>
      <c r="C290" s="819"/>
      <c r="D290" s="1342"/>
      <c r="E290" s="1342"/>
      <c r="F290" s="1342"/>
      <c r="G290" s="1342"/>
      <c r="H290" s="1342"/>
      <c r="I290" s="1342"/>
      <c r="J290" s="1342"/>
      <c r="K290" s="2126" t="s">
        <v>1500</v>
      </c>
      <c r="L290" s="1342"/>
      <c r="M290" s="1342"/>
      <c r="N290" s="1342"/>
      <c r="O290" s="1342"/>
      <c r="P290" s="1342"/>
      <c r="Q290" s="1342"/>
      <c r="R290" s="1342"/>
      <c r="S290" s="1342"/>
      <c r="T290" s="1342"/>
      <c r="U290" s="1342"/>
      <c r="V290" s="1342"/>
      <c r="W290" s="1342"/>
      <c r="X290" s="1342"/>
      <c r="Y290" s="1342"/>
      <c r="Z290" s="1342"/>
      <c r="AA290" s="1342"/>
      <c r="AB290" s="1401"/>
      <c r="AC290" s="819"/>
      <c r="AE290" s="819"/>
      <c r="AF290" s="819"/>
      <c r="AG290" s="819"/>
      <c r="AH290" s="819"/>
      <c r="AI290" s="819"/>
      <c r="AJ290" s="819"/>
      <c r="AK290" s="819"/>
      <c r="AL290" s="819"/>
      <c r="AM290" s="819"/>
      <c r="AN290" s="819"/>
      <c r="AO290" s="819"/>
      <c r="AP290" s="819"/>
      <c r="AQ290" s="819"/>
      <c r="AR290" s="819"/>
      <c r="AS290" s="819"/>
      <c r="AT290" s="819"/>
      <c r="AU290" s="819"/>
      <c r="AV290" s="819"/>
      <c r="AW290" s="819"/>
      <c r="AX290" s="819"/>
      <c r="AY290" s="819"/>
      <c r="AZ290" s="819"/>
      <c r="BA290" s="819"/>
    </row>
    <row r="291" spans="2:53" ht="14.1" customHeight="1">
      <c r="B291" s="819"/>
      <c r="C291" s="819"/>
      <c r="D291" s="1342"/>
      <c r="E291" s="1342"/>
      <c r="F291" s="1342"/>
      <c r="G291" s="1342"/>
      <c r="H291" s="1342"/>
      <c r="I291" s="1342"/>
      <c r="J291" s="1342"/>
      <c r="K291" s="2126"/>
      <c r="L291" s="1342"/>
      <c r="M291" s="1342"/>
      <c r="N291" s="1342"/>
      <c r="O291" s="1342"/>
      <c r="P291" s="1342"/>
      <c r="Q291" s="1342"/>
      <c r="R291" s="1342"/>
      <c r="S291" s="1342"/>
      <c r="T291" s="1342"/>
      <c r="U291" s="1342"/>
      <c r="V291" s="1342"/>
      <c r="W291" s="1342"/>
      <c r="X291" s="1342"/>
      <c r="Y291" s="1342"/>
      <c r="Z291" s="1342"/>
      <c r="AA291" s="1342"/>
      <c r="AB291" s="1401"/>
      <c r="AC291" s="819"/>
      <c r="AE291" s="819"/>
      <c r="AF291" s="819"/>
      <c r="AG291" s="819"/>
      <c r="AH291" s="819"/>
      <c r="AI291" s="819"/>
      <c r="AJ291" s="819"/>
      <c r="AK291" s="819"/>
      <c r="AL291" s="819"/>
      <c r="AM291" s="819"/>
      <c r="AN291" s="819"/>
      <c r="AO291" s="819"/>
      <c r="AP291" s="819"/>
      <c r="AQ291" s="819"/>
      <c r="AR291" s="819"/>
      <c r="AS291" s="819"/>
      <c r="AT291" s="819"/>
      <c r="AU291" s="819"/>
      <c r="AV291" s="819"/>
      <c r="AW291" s="819"/>
      <c r="AX291" s="819"/>
      <c r="AY291" s="819"/>
      <c r="AZ291" s="819"/>
      <c r="BA291" s="819"/>
    </row>
    <row r="292" spans="2:53" ht="14.1" customHeight="1">
      <c r="B292" s="819"/>
      <c r="C292" s="819"/>
      <c r="D292" s="1342"/>
      <c r="E292" s="1342"/>
      <c r="F292" s="1342"/>
      <c r="G292" s="1342"/>
      <c r="H292" s="1342"/>
      <c r="I292" s="1342"/>
      <c r="J292" s="1342"/>
      <c r="K292" s="1342"/>
      <c r="L292" s="1342"/>
      <c r="M292" s="1342"/>
      <c r="N292" s="1342"/>
      <c r="O292" s="1342"/>
      <c r="P292" s="1342"/>
      <c r="Q292" s="1342"/>
      <c r="R292" s="1342"/>
      <c r="S292" s="1342"/>
      <c r="T292" s="1342"/>
      <c r="U292" s="1342"/>
      <c r="V292" s="1342"/>
      <c r="W292" s="1342"/>
      <c r="X292" s="1342"/>
      <c r="Y292" s="1342"/>
      <c r="Z292" s="1342"/>
      <c r="AA292" s="1342"/>
      <c r="AB292" s="1401"/>
      <c r="AC292" s="819"/>
      <c r="AE292" s="819"/>
      <c r="AF292" s="819"/>
      <c r="AG292" s="819"/>
      <c r="AH292" s="819"/>
      <c r="AI292" s="819"/>
      <c r="AJ292" s="819"/>
      <c r="AK292" s="819"/>
      <c r="AL292" s="819"/>
      <c r="AM292" s="819"/>
      <c r="AN292" s="819"/>
      <c r="AO292" s="819"/>
      <c r="AP292" s="819"/>
      <c r="AQ292" s="819"/>
      <c r="AR292" s="819"/>
      <c r="AS292" s="819"/>
      <c r="AT292" s="819"/>
      <c r="AU292" s="819"/>
      <c r="AV292" s="819"/>
      <c r="AW292" s="819"/>
      <c r="AX292" s="819"/>
      <c r="AY292" s="819"/>
      <c r="AZ292" s="819"/>
      <c r="BA292" s="819"/>
    </row>
    <row r="293" spans="2:53" ht="14.1" customHeight="1">
      <c r="B293" s="796"/>
      <c r="C293" s="796"/>
      <c r="D293" s="796"/>
      <c r="E293" s="796"/>
      <c r="F293" s="796"/>
      <c r="G293" s="2120" t="s">
        <v>276</v>
      </c>
      <c r="H293" s="2120"/>
      <c r="I293" s="2120"/>
      <c r="J293" s="2120"/>
      <c r="K293" s="796"/>
      <c r="L293" s="2120" t="s">
        <v>277</v>
      </c>
      <c r="M293" s="2120"/>
      <c r="N293" s="2120"/>
      <c r="O293" s="2120"/>
      <c r="P293" s="796"/>
      <c r="Q293" s="813"/>
      <c r="R293" s="813"/>
      <c r="S293" s="796"/>
      <c r="T293" s="796"/>
      <c r="U293" s="796"/>
      <c r="V293" s="1342"/>
      <c r="W293" s="1342"/>
      <c r="X293" s="1342"/>
      <c r="Y293" s="1342"/>
      <c r="Z293" s="1342"/>
      <c r="AA293" s="1342"/>
      <c r="AB293" s="1401"/>
      <c r="AC293" s="819"/>
      <c r="AE293" s="819"/>
      <c r="AF293" s="819"/>
      <c r="AG293" s="819"/>
      <c r="AH293" s="819"/>
      <c r="AI293" s="819"/>
      <c r="AJ293" s="819"/>
      <c r="AK293" s="819"/>
      <c r="AL293" s="819"/>
      <c r="AM293" s="819"/>
      <c r="AN293" s="819"/>
      <c r="AO293" s="819"/>
      <c r="AP293" s="819"/>
      <c r="AQ293" s="819"/>
      <c r="AR293" s="819"/>
      <c r="AS293" s="819"/>
      <c r="AT293" s="819"/>
      <c r="AU293" s="819"/>
      <c r="AV293" s="819"/>
      <c r="AW293" s="819"/>
      <c r="AX293" s="819"/>
      <c r="AY293" s="819"/>
      <c r="AZ293" s="819"/>
      <c r="BA293" s="819"/>
    </row>
    <row r="294" spans="2:53" ht="14.1" customHeight="1">
      <c r="B294" s="796"/>
      <c r="C294" s="796"/>
      <c r="D294" s="796"/>
      <c r="E294" s="796"/>
      <c r="F294" s="796"/>
      <c r="G294" s="796"/>
      <c r="H294" s="811" t="s">
        <v>1506</v>
      </c>
      <c r="I294" s="796"/>
      <c r="J294" s="796"/>
      <c r="K294" s="796"/>
      <c r="L294" s="796"/>
      <c r="M294" s="818" t="s">
        <v>1506</v>
      </c>
      <c r="N294" s="813"/>
      <c r="O294" s="796"/>
      <c r="P294" s="796"/>
      <c r="Q294" s="813"/>
      <c r="R294" s="813"/>
      <c r="S294" s="796"/>
      <c r="T294" s="796"/>
      <c r="U294" s="796"/>
      <c r="V294" s="1342"/>
      <c r="W294" s="1342"/>
      <c r="X294" s="1342"/>
      <c r="Y294" s="1342"/>
      <c r="Z294" s="1342"/>
      <c r="AA294" s="1342"/>
      <c r="AB294" s="1401"/>
      <c r="AC294" s="819"/>
      <c r="AE294" s="819"/>
      <c r="AF294" s="819"/>
      <c r="AG294" s="819"/>
      <c r="AH294" s="819"/>
      <c r="AI294" s="819"/>
      <c r="AJ294" s="819"/>
      <c r="AK294" s="819"/>
      <c r="AL294" s="819"/>
      <c r="AM294" s="819"/>
      <c r="AN294" s="819"/>
      <c r="AO294" s="819"/>
      <c r="AP294" s="819"/>
      <c r="AQ294" s="819"/>
      <c r="AR294" s="819"/>
      <c r="AS294" s="819"/>
      <c r="AT294" s="819"/>
      <c r="AU294" s="819"/>
      <c r="AV294" s="819"/>
      <c r="AW294" s="819"/>
      <c r="AX294" s="819"/>
      <c r="AY294" s="819"/>
      <c r="AZ294" s="819"/>
      <c r="BA294" s="819"/>
    </row>
    <row r="295" spans="2:53" ht="14.1" customHeight="1">
      <c r="B295" s="796"/>
      <c r="C295" s="814"/>
      <c r="D295" s="814"/>
      <c r="E295" s="796"/>
      <c r="F295" s="796"/>
      <c r="G295" s="796"/>
      <c r="H295" s="810"/>
      <c r="I295" s="811"/>
      <c r="J295" s="796"/>
      <c r="K295" s="796"/>
      <c r="L295" s="796"/>
      <c r="M295" s="810"/>
      <c r="N295" s="811"/>
      <c r="O295" s="796"/>
      <c r="P295" s="796"/>
      <c r="Q295" s="811"/>
      <c r="R295" s="811"/>
      <c r="S295" s="796"/>
      <c r="T295" s="796"/>
      <c r="U295" s="796"/>
      <c r="V295" s="1342"/>
      <c r="W295" s="1342"/>
      <c r="X295" s="1342"/>
      <c r="Y295" s="1342"/>
      <c r="Z295" s="1342"/>
      <c r="AA295" s="1342"/>
      <c r="AB295" s="1401"/>
      <c r="AC295" s="819"/>
      <c r="AE295" s="819"/>
      <c r="AF295" s="819"/>
      <c r="AG295" s="819"/>
      <c r="AH295" s="819"/>
      <c r="AI295" s="819"/>
      <c r="AJ295" s="819"/>
      <c r="AK295" s="819"/>
      <c r="AL295" s="819"/>
      <c r="AM295" s="819"/>
      <c r="AN295" s="819"/>
      <c r="AO295" s="819"/>
      <c r="AP295" s="819"/>
      <c r="AQ295" s="819"/>
      <c r="AR295" s="819"/>
      <c r="AS295" s="819"/>
      <c r="AT295" s="819"/>
      <c r="AU295" s="819"/>
      <c r="AV295" s="819"/>
      <c r="AW295" s="819"/>
      <c r="AX295" s="819"/>
      <c r="AY295" s="819"/>
      <c r="AZ295" s="819"/>
      <c r="BA295" s="819"/>
    </row>
    <row r="296" spans="2:53" ht="14.1" customHeight="1">
      <c r="B296" s="796"/>
      <c r="C296" s="814"/>
      <c r="D296" s="814"/>
      <c r="E296" s="796"/>
      <c r="F296" s="796"/>
      <c r="G296" s="796"/>
      <c r="H296" s="812"/>
      <c r="I296" s="815"/>
      <c r="J296" s="796"/>
      <c r="K296" s="796"/>
      <c r="L296" s="796"/>
      <c r="M296" s="812"/>
      <c r="N296" s="815"/>
      <c r="O296" s="796"/>
      <c r="P296" s="796"/>
      <c r="Q296" s="815"/>
      <c r="R296" s="815"/>
      <c r="S296" s="796"/>
      <c r="T296" s="796"/>
      <c r="U296" s="796"/>
      <c r="V296" s="1342"/>
      <c r="W296" s="1342"/>
      <c r="X296" s="1342"/>
      <c r="Y296" s="1342"/>
      <c r="Z296" s="1342"/>
      <c r="AA296" s="1342"/>
      <c r="AB296" s="1401"/>
      <c r="AC296" s="819"/>
      <c r="AE296" s="819"/>
      <c r="AF296" s="819"/>
      <c r="AG296" s="819"/>
      <c r="AH296" s="819"/>
      <c r="AI296" s="819"/>
      <c r="AJ296" s="819"/>
      <c r="AK296" s="819"/>
      <c r="AL296" s="819"/>
      <c r="AM296" s="819"/>
      <c r="AN296" s="819"/>
      <c r="AO296" s="819"/>
      <c r="AP296" s="819"/>
      <c r="AQ296" s="819"/>
      <c r="AR296" s="819"/>
      <c r="AS296" s="819"/>
      <c r="AT296" s="819"/>
      <c r="AU296" s="819"/>
      <c r="AV296" s="819"/>
      <c r="AW296" s="819"/>
      <c r="AX296" s="819"/>
      <c r="AY296" s="819"/>
      <c r="AZ296" s="819"/>
      <c r="BA296" s="819"/>
    </row>
    <row r="297" spans="2:53" ht="14.1" customHeight="1">
      <c r="B297" s="796"/>
      <c r="C297" s="814"/>
      <c r="D297" s="814"/>
      <c r="E297" s="796"/>
      <c r="F297" s="796" t="s">
        <v>1498</v>
      </c>
      <c r="G297" s="796"/>
      <c r="H297" s="815"/>
      <c r="I297" s="815"/>
      <c r="J297" s="796"/>
      <c r="K297" s="796"/>
      <c r="L297" s="796"/>
      <c r="M297" s="815"/>
      <c r="N297" s="815"/>
      <c r="O297" s="796"/>
      <c r="P297" s="796"/>
      <c r="Q297" s="815"/>
      <c r="R297" s="815"/>
      <c r="S297" s="796"/>
      <c r="T297" s="796"/>
      <c r="U297" s="796"/>
      <c r="V297" s="1342"/>
      <c r="W297" s="1342"/>
      <c r="X297" s="1342"/>
      <c r="Y297" s="1342"/>
      <c r="Z297" s="1342"/>
      <c r="AA297" s="1342"/>
      <c r="AB297" s="1401"/>
      <c r="AC297" s="819"/>
      <c r="AE297" s="819"/>
      <c r="AF297" s="819"/>
      <c r="AG297" s="819"/>
      <c r="AH297" s="819"/>
      <c r="AI297" s="819"/>
      <c r="AJ297" s="819"/>
      <c r="AK297" s="819"/>
      <c r="AL297" s="819"/>
      <c r="AM297" s="819"/>
      <c r="AN297" s="819"/>
      <c r="AO297" s="819"/>
      <c r="AP297" s="819"/>
      <c r="AQ297" s="819"/>
      <c r="AR297" s="819"/>
      <c r="AS297" s="819"/>
      <c r="AT297" s="819"/>
      <c r="AU297" s="819"/>
      <c r="AV297" s="819"/>
      <c r="AW297" s="819"/>
      <c r="AX297" s="819"/>
      <c r="AY297" s="819"/>
      <c r="AZ297" s="819"/>
      <c r="BA297" s="819"/>
    </row>
    <row r="298" spans="2:53" ht="14.1" customHeight="1">
      <c r="B298" s="796"/>
      <c r="C298" s="814"/>
      <c r="D298" s="814"/>
      <c r="E298" s="796"/>
      <c r="F298" s="796"/>
      <c r="G298" s="796"/>
      <c r="H298" s="815"/>
      <c r="I298" s="815"/>
      <c r="J298" s="796"/>
      <c r="K298" s="796"/>
      <c r="L298" s="796"/>
      <c r="M298" s="815"/>
      <c r="N298" s="815"/>
      <c r="O298" s="796"/>
      <c r="P298" s="796"/>
      <c r="Q298" s="815"/>
      <c r="R298" s="815"/>
      <c r="S298" s="796"/>
      <c r="T298" s="796"/>
      <c r="U298" s="796"/>
      <c r="V298" s="1342"/>
      <c r="W298" s="1342"/>
      <c r="X298" s="1342"/>
      <c r="Y298" s="1342"/>
      <c r="Z298" s="1342"/>
      <c r="AA298" s="1342"/>
      <c r="AB298" s="1401"/>
      <c r="AC298" s="819"/>
      <c r="AE298" s="819"/>
      <c r="AF298" s="819"/>
      <c r="AG298" s="819"/>
      <c r="AH298" s="819"/>
      <c r="AI298" s="819"/>
      <c r="AJ298" s="819"/>
      <c r="AK298" s="819"/>
      <c r="AL298" s="819"/>
      <c r="AM298" s="819"/>
      <c r="AN298" s="819"/>
      <c r="AO298" s="819"/>
      <c r="AP298" s="819"/>
      <c r="AQ298" s="819"/>
      <c r="AR298" s="819"/>
      <c r="AS298" s="819"/>
      <c r="AT298" s="819"/>
      <c r="AU298" s="819"/>
      <c r="AV298" s="819"/>
      <c r="AW298" s="819"/>
      <c r="AX298" s="819"/>
      <c r="AY298" s="819"/>
      <c r="AZ298" s="819"/>
      <c r="BA298" s="819"/>
    </row>
    <row r="299" spans="2:53" ht="14.1" customHeight="1">
      <c r="B299" s="796"/>
      <c r="C299" s="814"/>
      <c r="D299" s="814"/>
      <c r="E299" s="796"/>
      <c r="F299" s="796"/>
      <c r="G299" s="796"/>
      <c r="H299" s="796"/>
      <c r="I299" s="796"/>
      <c r="J299" s="796"/>
      <c r="K299" s="796"/>
      <c r="L299" s="796"/>
      <c r="M299" s="796"/>
      <c r="N299" s="796"/>
      <c r="O299" s="796"/>
      <c r="P299" s="796"/>
      <c r="Q299" s="796"/>
      <c r="R299" s="796"/>
      <c r="S299" s="796"/>
      <c r="T299" s="796"/>
      <c r="U299" s="796"/>
      <c r="V299" s="1342"/>
      <c r="W299" s="1342"/>
      <c r="X299" s="1342"/>
      <c r="Y299" s="1342"/>
      <c r="Z299" s="1342"/>
      <c r="AA299" s="1342"/>
      <c r="AB299" s="1401"/>
      <c r="AC299" s="819"/>
      <c r="AE299" s="819"/>
      <c r="AF299" s="819"/>
      <c r="AG299" s="819"/>
      <c r="AH299" s="819"/>
      <c r="AI299" s="819"/>
      <c r="AJ299" s="819"/>
      <c r="AK299" s="819"/>
      <c r="AL299" s="819"/>
      <c r="AM299" s="819"/>
      <c r="AN299" s="819"/>
      <c r="AO299" s="819"/>
      <c r="AP299" s="819"/>
      <c r="AQ299" s="819"/>
      <c r="AR299" s="819"/>
      <c r="AS299" s="819"/>
      <c r="AT299" s="819"/>
      <c r="AU299" s="819"/>
      <c r="AV299" s="819"/>
      <c r="AW299" s="819"/>
      <c r="AX299" s="819"/>
      <c r="AY299" s="819"/>
      <c r="AZ299" s="819"/>
      <c r="BA299" s="819"/>
    </row>
    <row r="300" spans="2:53" ht="14.1" customHeight="1">
      <c r="B300" s="796"/>
      <c r="C300" s="814"/>
      <c r="D300" s="814"/>
      <c r="E300" s="796"/>
      <c r="F300" s="796"/>
      <c r="G300" s="796"/>
      <c r="H300" s="801"/>
      <c r="I300" s="796"/>
      <c r="J300" s="796"/>
      <c r="K300" s="796"/>
      <c r="L300" s="796"/>
      <c r="M300" s="801"/>
      <c r="N300" s="796"/>
      <c r="O300" s="796"/>
      <c r="P300" s="796"/>
      <c r="Q300" s="796"/>
      <c r="R300" s="796"/>
      <c r="S300" s="796"/>
      <c r="T300" s="796"/>
      <c r="U300" s="796"/>
      <c r="V300" s="1342"/>
      <c r="W300" s="1342"/>
      <c r="X300" s="1342"/>
      <c r="Y300" s="1342"/>
      <c r="Z300" s="1342"/>
      <c r="AA300" s="1342"/>
      <c r="AB300" s="1401"/>
      <c r="AC300" s="819"/>
      <c r="AE300" s="819"/>
      <c r="AF300" s="819"/>
      <c r="AG300" s="819"/>
      <c r="AH300" s="819"/>
      <c r="AI300" s="819"/>
      <c r="AJ300" s="819"/>
      <c r="AK300" s="819"/>
      <c r="AL300" s="819"/>
      <c r="AM300" s="819"/>
      <c r="AN300" s="819"/>
      <c r="AO300" s="819"/>
      <c r="AP300" s="819"/>
      <c r="AQ300" s="819"/>
      <c r="AR300" s="819"/>
      <c r="AS300" s="819"/>
      <c r="AT300" s="819"/>
      <c r="AU300" s="819"/>
      <c r="AV300" s="819"/>
      <c r="AW300" s="819"/>
      <c r="AX300" s="819"/>
      <c r="AY300" s="819"/>
      <c r="AZ300" s="819"/>
      <c r="BA300" s="819"/>
    </row>
    <row r="301" spans="2:53" ht="14.1" customHeight="1" thickBot="1">
      <c r="B301" s="796"/>
      <c r="C301" s="814"/>
      <c r="D301" s="814"/>
      <c r="E301" s="789" t="s">
        <v>1499</v>
      </c>
      <c r="F301" s="796"/>
      <c r="G301" s="796"/>
      <c r="H301" s="801"/>
      <c r="I301" s="796"/>
      <c r="J301" s="2106"/>
      <c r="K301" s="2106"/>
      <c r="L301" s="2106"/>
      <c r="M301" s="796"/>
      <c r="N301" s="816"/>
      <c r="O301" s="796"/>
      <c r="P301" s="796"/>
      <c r="Q301" s="796"/>
      <c r="R301" s="796"/>
      <c r="S301" s="796"/>
      <c r="T301" s="796"/>
      <c r="U301" s="796"/>
      <c r="V301" s="1342"/>
      <c r="W301" s="1342"/>
      <c r="X301" s="1342"/>
      <c r="Y301" s="1342"/>
      <c r="Z301" s="1342"/>
      <c r="AA301" s="1342"/>
      <c r="AB301" s="1401"/>
      <c r="AC301" s="819"/>
      <c r="AE301" s="819"/>
      <c r="AF301" s="819"/>
      <c r="AG301" s="819"/>
      <c r="AH301" s="819"/>
      <c r="AI301" s="819"/>
      <c r="AJ301" s="819"/>
      <c r="AK301" s="819"/>
      <c r="AL301" s="819"/>
      <c r="AM301" s="819"/>
      <c r="AN301" s="819"/>
      <c r="AO301" s="819"/>
      <c r="AP301" s="819"/>
      <c r="AQ301" s="819"/>
      <c r="AR301" s="819"/>
      <c r="AS301" s="819"/>
      <c r="AT301" s="819"/>
      <c r="AU301" s="819"/>
      <c r="AV301" s="819"/>
      <c r="AW301" s="819"/>
      <c r="AX301" s="819"/>
      <c r="AY301" s="819"/>
      <c r="AZ301" s="819"/>
      <c r="BA301" s="819"/>
    </row>
    <row r="302" spans="2:53" ht="14.1" customHeight="1" thickTop="1" thickBot="1">
      <c r="B302" s="796"/>
      <c r="C302" s="796"/>
      <c r="D302" s="796"/>
      <c r="E302" s="802"/>
      <c r="F302" s="2017" t="s">
        <v>69</v>
      </c>
      <c r="G302" s="803"/>
      <c r="H302" s="804"/>
      <c r="I302" s="805"/>
      <c r="J302" s="802"/>
      <c r="K302" s="2108" t="s">
        <v>1473</v>
      </c>
      <c r="L302" s="802"/>
      <c r="M302" s="804"/>
      <c r="N302" s="805"/>
      <c r="O302" s="802"/>
      <c r="P302" s="2108" t="s">
        <v>1475</v>
      </c>
      <c r="Q302" s="805"/>
      <c r="R302" s="811"/>
      <c r="S302" s="814"/>
      <c r="T302" s="796"/>
      <c r="U302" s="796"/>
      <c r="V302" s="1342"/>
      <c r="W302" s="1342"/>
      <c r="X302" s="1342"/>
      <c r="Y302" s="1342"/>
      <c r="Z302" s="1342"/>
      <c r="AA302" s="1342"/>
      <c r="AB302" s="1401"/>
      <c r="AC302" s="819"/>
      <c r="AE302" s="819"/>
      <c r="AF302" s="819"/>
      <c r="AG302" s="819"/>
      <c r="AH302" s="819"/>
      <c r="AI302" s="819"/>
      <c r="AJ302" s="819"/>
      <c r="AK302" s="819"/>
      <c r="AL302" s="819"/>
      <c r="AM302" s="819"/>
      <c r="AN302" s="819"/>
      <c r="AO302" s="819"/>
      <c r="AP302" s="819"/>
      <c r="AQ302" s="819"/>
      <c r="AR302" s="819"/>
      <c r="AS302" s="819"/>
      <c r="AT302" s="819"/>
      <c r="AU302" s="819"/>
      <c r="AV302" s="819"/>
      <c r="AW302" s="819"/>
      <c r="AX302" s="819"/>
      <c r="AY302" s="819"/>
      <c r="AZ302" s="819"/>
      <c r="BA302" s="819"/>
    </row>
    <row r="303" spans="2:53" ht="14.1" customHeight="1" thickTop="1" thickBot="1">
      <c r="B303" s="796"/>
      <c r="C303" s="796"/>
      <c r="D303" s="796"/>
      <c r="E303" s="806"/>
      <c r="F303" s="2018"/>
      <c r="G303" s="796"/>
      <c r="H303" s="796"/>
      <c r="I303" s="796"/>
      <c r="J303" s="796"/>
      <c r="K303" s="2109"/>
      <c r="L303" s="796"/>
      <c r="M303" s="796"/>
      <c r="N303" s="796"/>
      <c r="O303" s="796"/>
      <c r="P303" s="2109"/>
      <c r="Q303" s="796"/>
      <c r="R303" s="816"/>
      <c r="S303" s="796"/>
      <c r="T303" s="796"/>
      <c r="U303" s="796"/>
      <c r="V303" s="1342"/>
      <c r="W303" s="1342"/>
      <c r="X303" s="1342"/>
      <c r="Y303" s="1342"/>
      <c r="Z303" s="1342"/>
      <c r="AA303" s="1342"/>
      <c r="AB303" s="1401"/>
      <c r="AC303" s="819"/>
      <c r="AE303" s="819"/>
      <c r="AF303" s="819"/>
      <c r="AG303" s="819"/>
      <c r="AH303" s="819"/>
      <c r="AI303" s="819"/>
      <c r="AJ303" s="819"/>
      <c r="AK303" s="819"/>
      <c r="AL303" s="819"/>
      <c r="AM303" s="819"/>
      <c r="AN303" s="819"/>
      <c r="AO303" s="819"/>
      <c r="AP303" s="819"/>
      <c r="AQ303" s="819"/>
      <c r="AR303" s="819"/>
      <c r="AS303" s="819"/>
      <c r="AT303" s="819"/>
      <c r="AU303" s="819"/>
      <c r="AV303" s="819"/>
      <c r="AW303" s="819"/>
      <c r="AX303" s="819"/>
      <c r="AY303" s="819"/>
      <c r="AZ303" s="819"/>
      <c r="BA303" s="819"/>
    </row>
    <row r="304" spans="2:53" ht="14.1" customHeight="1" thickTop="1" thickBot="1">
      <c r="B304" s="2103" t="s">
        <v>349</v>
      </c>
      <c r="C304" s="2114" t="s">
        <v>334</v>
      </c>
      <c r="D304" s="2118"/>
      <c r="E304" s="814"/>
      <c r="F304" s="814"/>
      <c r="G304" s="796"/>
      <c r="H304" s="796"/>
      <c r="I304" s="796"/>
      <c r="J304" s="796"/>
      <c r="K304" s="796"/>
      <c r="L304" s="796"/>
      <c r="M304" s="796"/>
      <c r="N304" s="796"/>
      <c r="O304" s="796"/>
      <c r="P304" s="796"/>
      <c r="Q304" s="796"/>
      <c r="R304" s="2113" t="s">
        <v>341</v>
      </c>
      <c r="S304" s="2114"/>
      <c r="T304" s="796"/>
      <c r="U304" s="796"/>
      <c r="V304" s="1342"/>
      <c r="W304" s="1342"/>
      <c r="X304" s="1342"/>
      <c r="Y304" s="1342"/>
      <c r="Z304" s="1342"/>
      <c r="AA304" s="1342"/>
      <c r="AB304" s="1401"/>
      <c r="AC304" s="819"/>
      <c r="AE304" s="819"/>
      <c r="AF304" s="819"/>
      <c r="AG304" s="819"/>
      <c r="AH304" s="819"/>
      <c r="AI304" s="819"/>
      <c r="AJ304" s="819"/>
      <c r="AK304" s="819"/>
      <c r="AL304" s="819"/>
      <c r="AM304" s="819"/>
      <c r="AN304" s="819"/>
      <c r="AO304" s="819"/>
      <c r="AP304" s="819"/>
      <c r="AQ304" s="819"/>
      <c r="AR304" s="819"/>
      <c r="AS304" s="819"/>
      <c r="AT304" s="819"/>
      <c r="AU304" s="819"/>
      <c r="AV304" s="819"/>
      <c r="AW304" s="819"/>
      <c r="AX304" s="819"/>
      <c r="AY304" s="819"/>
      <c r="AZ304" s="819"/>
      <c r="BA304" s="819"/>
    </row>
    <row r="305" spans="2:53" ht="14.1" customHeight="1" thickTop="1" thickBot="1">
      <c r="B305" s="2103"/>
      <c r="C305" s="807"/>
      <c r="D305" s="792"/>
      <c r="E305" s="796"/>
      <c r="F305" s="796"/>
      <c r="G305" s="796"/>
      <c r="H305" s="796"/>
      <c r="I305" s="796"/>
      <c r="J305" s="796"/>
      <c r="K305" s="796"/>
      <c r="L305" s="796"/>
      <c r="M305" s="796"/>
      <c r="N305" s="796"/>
      <c r="O305" s="796"/>
      <c r="P305" s="796"/>
      <c r="Q305" s="796"/>
      <c r="R305" s="817"/>
      <c r="S305" s="807"/>
      <c r="T305" s="796"/>
      <c r="U305" s="796"/>
      <c r="V305" s="1342"/>
      <c r="W305" s="1342"/>
      <c r="X305" s="1342"/>
      <c r="Y305" s="1342"/>
      <c r="Z305" s="1342"/>
      <c r="AA305" s="1342"/>
      <c r="AB305" s="1401"/>
      <c r="AC305" s="819"/>
      <c r="AE305" s="819"/>
      <c r="AF305" s="819"/>
      <c r="AG305" s="819"/>
      <c r="AH305" s="819"/>
      <c r="AI305" s="819"/>
      <c r="AJ305" s="819"/>
      <c r="AK305" s="819"/>
      <c r="AL305" s="819"/>
      <c r="AM305" s="819"/>
      <c r="AN305" s="819"/>
      <c r="AO305" s="819"/>
      <c r="AP305" s="819"/>
      <c r="AQ305" s="819"/>
      <c r="AR305" s="819"/>
      <c r="AS305" s="819"/>
      <c r="AT305" s="819"/>
      <c r="AU305" s="819"/>
      <c r="AV305" s="819"/>
      <c r="AW305" s="819"/>
      <c r="AX305" s="819"/>
      <c r="AY305" s="819"/>
      <c r="AZ305" s="819"/>
      <c r="BA305" s="819"/>
    </row>
    <row r="306" spans="2:53" ht="14.1" customHeight="1" thickTop="1" thickBot="1">
      <c r="B306" s="796"/>
      <c r="C306" s="796"/>
      <c r="D306" s="801"/>
      <c r="E306" s="808"/>
      <c r="F306" s="2022" t="s">
        <v>1481</v>
      </c>
      <c r="G306" s="809"/>
      <c r="H306" s="809"/>
      <c r="I306" s="809"/>
      <c r="J306" s="809"/>
      <c r="K306" s="2108" t="s">
        <v>1479</v>
      </c>
      <c r="L306" s="809"/>
      <c r="M306" s="809"/>
      <c r="N306" s="809"/>
      <c r="O306" s="809"/>
      <c r="P306" s="2022" t="s">
        <v>1478</v>
      </c>
      <c r="Q306" s="809"/>
      <c r="R306" s="816"/>
      <c r="S306" s="796"/>
      <c r="T306" s="796"/>
      <c r="U306" s="796"/>
      <c r="V306" s="1342"/>
      <c r="W306" s="1342"/>
      <c r="X306" s="1342"/>
      <c r="Y306" s="1342"/>
      <c r="Z306" s="1342"/>
      <c r="AA306" s="1342"/>
      <c r="AB306" s="1401"/>
      <c r="AC306" s="819"/>
      <c r="AE306" s="819"/>
      <c r="AF306" s="819"/>
      <c r="AG306" s="819"/>
      <c r="AH306" s="819"/>
      <c r="AI306" s="819"/>
      <c r="AJ306" s="819"/>
      <c r="AK306" s="819"/>
      <c r="AL306" s="819"/>
      <c r="AM306" s="819"/>
      <c r="AN306" s="819"/>
      <c r="AO306" s="819"/>
      <c r="AP306" s="819"/>
      <c r="AQ306" s="819"/>
      <c r="AR306" s="819"/>
      <c r="AS306" s="819"/>
      <c r="AT306" s="819"/>
      <c r="AU306" s="819"/>
      <c r="AV306" s="819"/>
      <c r="AW306" s="819"/>
      <c r="AX306" s="819"/>
      <c r="AY306" s="819"/>
      <c r="AZ306" s="819"/>
      <c r="BA306" s="819"/>
    </row>
    <row r="307" spans="2:53" ht="14.1" customHeight="1" thickTop="1" thickBot="1">
      <c r="B307" s="796"/>
      <c r="C307" s="796"/>
      <c r="D307" s="796"/>
      <c r="E307" s="796"/>
      <c r="F307" s="2023"/>
      <c r="G307" s="796"/>
      <c r="H307" s="801"/>
      <c r="I307" s="796"/>
      <c r="J307" s="796"/>
      <c r="K307" s="2109"/>
      <c r="L307" s="796"/>
      <c r="M307" s="801"/>
      <c r="N307" s="796"/>
      <c r="O307" s="796"/>
      <c r="P307" s="2023"/>
      <c r="Q307" s="796"/>
      <c r="R307" s="796"/>
      <c r="S307" s="796"/>
      <c r="T307" s="796"/>
      <c r="U307" s="796"/>
      <c r="V307" s="1342"/>
      <c r="W307" s="1342"/>
      <c r="X307" s="1342"/>
      <c r="Y307" s="1342"/>
      <c r="Z307" s="1342"/>
      <c r="AA307" s="1342"/>
      <c r="AB307" s="1401"/>
      <c r="AC307" s="819"/>
      <c r="AE307" s="819"/>
      <c r="AF307" s="819"/>
      <c r="AG307" s="819"/>
      <c r="AH307" s="819"/>
      <c r="AI307" s="819"/>
      <c r="AJ307" s="819"/>
      <c r="AK307" s="819"/>
      <c r="AL307" s="819"/>
      <c r="AM307" s="819"/>
      <c r="AN307" s="819"/>
      <c r="AO307" s="819"/>
      <c r="AP307" s="819"/>
      <c r="AQ307" s="819"/>
      <c r="AR307" s="819"/>
      <c r="AS307" s="819"/>
      <c r="AT307" s="819"/>
      <c r="AU307" s="819"/>
      <c r="AV307" s="819"/>
      <c r="AW307" s="819"/>
      <c r="AX307" s="819"/>
      <c r="AY307" s="819"/>
      <c r="AZ307" s="819"/>
      <c r="BA307" s="819"/>
    </row>
    <row r="308" spans="2:53" ht="14.1" customHeight="1">
      <c r="B308" s="796"/>
      <c r="C308" s="796"/>
      <c r="D308" s="796"/>
      <c r="E308" s="796"/>
      <c r="F308" s="796"/>
      <c r="G308" s="796"/>
      <c r="H308" s="801"/>
      <c r="I308" s="796"/>
      <c r="J308" s="796"/>
      <c r="K308" s="796"/>
      <c r="L308" s="796"/>
      <c r="M308" s="801"/>
      <c r="N308" s="796"/>
      <c r="O308" s="2111" t="s">
        <v>1509</v>
      </c>
      <c r="P308" s="2120"/>
      <c r="Q308" s="2120"/>
      <c r="R308" s="796"/>
      <c r="S308" s="796"/>
      <c r="T308" s="796"/>
      <c r="U308" s="796"/>
      <c r="V308" s="1342"/>
      <c r="W308" s="1342"/>
      <c r="X308" s="1342"/>
      <c r="Y308" s="1342"/>
      <c r="Z308" s="1342"/>
      <c r="AA308" s="1342"/>
      <c r="AB308" s="1401"/>
      <c r="AC308" s="819"/>
      <c r="AE308" s="819"/>
      <c r="AF308" s="819"/>
      <c r="AG308" s="819"/>
      <c r="AH308" s="819"/>
      <c r="AI308" s="819"/>
      <c r="AJ308" s="819"/>
      <c r="AK308" s="819"/>
      <c r="AL308" s="819"/>
      <c r="AM308" s="819"/>
      <c r="AN308" s="819"/>
      <c r="AO308" s="819"/>
      <c r="AP308" s="819"/>
      <c r="AQ308" s="819"/>
      <c r="AR308" s="819"/>
      <c r="AS308" s="819"/>
      <c r="AT308" s="819"/>
      <c r="AU308" s="819"/>
      <c r="AV308" s="819"/>
      <c r="AW308" s="819"/>
      <c r="AX308" s="819"/>
      <c r="AY308" s="819"/>
      <c r="AZ308" s="819"/>
      <c r="BA308" s="819"/>
    </row>
    <row r="309" spans="2:53" ht="14.1" customHeight="1">
      <c r="B309" s="796"/>
      <c r="C309" s="796"/>
      <c r="D309" s="796"/>
      <c r="E309" s="796"/>
      <c r="F309" s="796"/>
      <c r="G309" s="796"/>
      <c r="H309" s="810"/>
      <c r="I309" s="811"/>
      <c r="J309" s="796"/>
      <c r="K309" s="796"/>
      <c r="L309" s="796"/>
      <c r="M309" s="810"/>
      <c r="N309" s="811"/>
      <c r="O309" s="2120"/>
      <c r="P309" s="2120"/>
      <c r="Q309" s="2120"/>
      <c r="R309" s="811"/>
      <c r="S309" s="796"/>
      <c r="T309" s="796"/>
      <c r="U309" s="796"/>
      <c r="V309" s="1342"/>
      <c r="W309" s="1342"/>
      <c r="X309" s="1342"/>
      <c r="Y309" s="1342"/>
      <c r="Z309" s="1342"/>
      <c r="AA309" s="1342"/>
      <c r="AB309" s="1401"/>
      <c r="AC309" s="819"/>
      <c r="AE309" s="819"/>
      <c r="AF309" s="819"/>
      <c r="AG309" s="819"/>
      <c r="AH309" s="819"/>
      <c r="AI309" s="819"/>
      <c r="AJ309" s="819"/>
      <c r="AK309" s="819"/>
      <c r="AL309" s="819"/>
      <c r="AM309" s="819"/>
      <c r="AN309" s="819"/>
      <c r="AO309" s="819"/>
      <c r="AP309" s="819"/>
      <c r="AQ309" s="819"/>
      <c r="AR309" s="819"/>
      <c r="AS309" s="819"/>
      <c r="AT309" s="819"/>
      <c r="AU309" s="819"/>
      <c r="AV309" s="819"/>
      <c r="AW309" s="819"/>
      <c r="AX309" s="819"/>
      <c r="AY309" s="819"/>
      <c r="AZ309" s="819"/>
      <c r="BA309" s="819"/>
    </row>
    <row r="310" spans="2:53" ht="14.1" customHeight="1">
      <c r="B310" s="796"/>
      <c r="C310" s="813"/>
      <c r="D310" s="796"/>
      <c r="E310" s="796"/>
      <c r="F310" s="796"/>
      <c r="G310" s="796"/>
      <c r="H310" s="2115" t="s">
        <v>1480</v>
      </c>
      <c r="I310" s="2115"/>
      <c r="J310" s="796"/>
      <c r="K310" s="796"/>
      <c r="L310" s="796"/>
      <c r="M310" s="2115" t="s">
        <v>338</v>
      </c>
      <c r="N310" s="2115"/>
      <c r="O310" s="2120"/>
      <c r="P310" s="2120"/>
      <c r="Q310" s="2120"/>
      <c r="R310" s="815"/>
      <c r="S310" s="796"/>
      <c r="T310" s="796"/>
      <c r="U310" s="796"/>
      <c r="V310" s="1342"/>
      <c r="W310" s="1342"/>
      <c r="X310" s="1342"/>
      <c r="Y310" s="1342"/>
      <c r="Z310" s="1342"/>
      <c r="AA310" s="1342"/>
      <c r="AB310" s="1401"/>
      <c r="AC310" s="819"/>
      <c r="AE310" s="819"/>
      <c r="AF310" s="819"/>
      <c r="AG310" s="819"/>
      <c r="AH310" s="819"/>
      <c r="AI310" s="819"/>
      <c r="AJ310" s="819"/>
      <c r="AK310" s="819"/>
      <c r="AL310" s="819"/>
      <c r="AM310" s="819"/>
      <c r="AN310" s="819"/>
      <c r="AO310" s="819"/>
      <c r="AP310" s="819"/>
      <c r="AQ310" s="819"/>
      <c r="AR310" s="819"/>
      <c r="AS310" s="819"/>
      <c r="AT310" s="819"/>
      <c r="AU310" s="819"/>
      <c r="AV310" s="819"/>
      <c r="AW310" s="819"/>
      <c r="AX310" s="819"/>
      <c r="AY310" s="819"/>
      <c r="AZ310" s="819"/>
      <c r="BA310" s="819"/>
    </row>
    <row r="311" spans="2:53" ht="14.1" customHeight="1">
      <c r="B311" s="819"/>
      <c r="C311" s="819"/>
      <c r="D311" s="1342"/>
      <c r="E311" s="1342"/>
      <c r="F311" s="1342"/>
      <c r="G311" s="1342"/>
      <c r="H311" s="1342"/>
      <c r="I311" s="1342"/>
      <c r="J311" s="1342"/>
      <c r="K311" s="1342"/>
      <c r="L311" s="1342"/>
      <c r="M311" s="1342"/>
      <c r="N311" s="1342"/>
      <c r="O311" s="1342"/>
      <c r="P311" s="1342"/>
      <c r="Q311" s="1342"/>
      <c r="R311" s="1342"/>
      <c r="S311" s="1342"/>
      <c r="T311" s="1342"/>
      <c r="U311" s="1342"/>
      <c r="V311" s="1342"/>
      <c r="W311" s="1342"/>
      <c r="X311" s="1342"/>
      <c r="Y311" s="1342"/>
      <c r="Z311" s="1342"/>
      <c r="AA311" s="1342"/>
      <c r="AB311" s="1401"/>
      <c r="AC311" s="819"/>
      <c r="AE311" s="819"/>
      <c r="AF311" s="819"/>
      <c r="AG311" s="819"/>
      <c r="AH311" s="819"/>
      <c r="AI311" s="819"/>
      <c r="AJ311" s="819"/>
      <c r="AK311" s="819"/>
      <c r="AL311" s="819"/>
      <c r="AM311" s="819"/>
      <c r="AN311" s="819"/>
      <c r="AO311" s="819"/>
      <c r="AP311" s="819"/>
      <c r="AQ311" s="819"/>
      <c r="AR311" s="819"/>
      <c r="AS311" s="819"/>
      <c r="AT311" s="819"/>
      <c r="AU311" s="819"/>
      <c r="AV311" s="819"/>
      <c r="AW311" s="819"/>
      <c r="AX311" s="819"/>
      <c r="AY311" s="819"/>
      <c r="AZ311" s="819"/>
      <c r="BA311" s="819"/>
    </row>
    <row r="312" spans="2:53" ht="14.1" customHeight="1">
      <c r="B312" s="819"/>
      <c r="C312" s="2104" t="s">
        <v>1485</v>
      </c>
      <c r="D312" s="2105"/>
      <c r="E312" s="1342"/>
      <c r="F312" s="1342"/>
      <c r="G312" s="1342"/>
      <c r="H312" s="1342"/>
      <c r="I312" s="1342"/>
      <c r="J312" s="1342"/>
      <c r="K312" s="1342"/>
      <c r="L312" s="1342"/>
      <c r="M312" s="1342"/>
      <c r="N312" s="1342"/>
      <c r="O312" s="1342"/>
      <c r="P312" s="1342"/>
      <c r="Q312" s="1342"/>
      <c r="R312" s="1342"/>
      <c r="S312" s="1342"/>
      <c r="T312" s="1342"/>
      <c r="U312" s="1342"/>
      <c r="V312" s="1342"/>
      <c r="W312" s="1342"/>
      <c r="X312" s="1342"/>
      <c r="Y312" s="1342"/>
      <c r="Z312" s="1342"/>
      <c r="AA312" s="1342"/>
      <c r="AB312" s="1401"/>
      <c r="AC312" s="819"/>
      <c r="AE312" s="819"/>
      <c r="AF312" s="819"/>
      <c r="AG312" s="819"/>
      <c r="AH312" s="819"/>
      <c r="AI312" s="819"/>
      <c r="AJ312" s="819"/>
      <c r="AK312" s="819"/>
      <c r="AL312" s="819"/>
      <c r="AM312" s="819"/>
      <c r="AN312" s="819"/>
      <c r="AO312" s="819"/>
      <c r="AP312" s="819"/>
      <c r="AQ312" s="819"/>
      <c r="AR312" s="819"/>
      <c r="AS312" s="819"/>
      <c r="AT312" s="819"/>
      <c r="AU312" s="819"/>
      <c r="AV312" s="819"/>
      <c r="AW312" s="819"/>
      <c r="AX312" s="819"/>
      <c r="AY312" s="819"/>
      <c r="AZ312" s="819"/>
      <c r="BA312" s="819"/>
    </row>
    <row r="313" spans="2:53" ht="14.1" customHeight="1">
      <c r="B313" s="819"/>
      <c r="C313" s="819"/>
      <c r="D313" s="2093" t="s">
        <v>1510</v>
      </c>
      <c r="E313" s="2093"/>
      <c r="F313" s="2093"/>
      <c r="G313" s="2093"/>
      <c r="H313" s="2093"/>
      <c r="I313" s="2093"/>
      <c r="J313" s="2093"/>
      <c r="K313" s="2093"/>
      <c r="L313" s="2093"/>
      <c r="M313" s="2093"/>
      <c r="N313" s="2093"/>
      <c r="O313" s="2093"/>
      <c r="P313" s="2093"/>
      <c r="Q313" s="2093"/>
      <c r="R313" s="2093"/>
      <c r="S313" s="2093"/>
      <c r="T313" s="2093"/>
      <c r="U313" s="2093"/>
      <c r="V313" s="2093"/>
      <c r="W313" s="2093"/>
      <c r="X313" s="2093"/>
      <c r="Y313" s="2093"/>
      <c r="Z313" s="2093"/>
      <c r="AA313" s="2093"/>
      <c r="AB313" s="2093"/>
      <c r="AC313" s="2093"/>
      <c r="AE313" s="819"/>
      <c r="AF313" s="819"/>
      <c r="AG313" s="819"/>
      <c r="AH313" s="819"/>
      <c r="AI313" s="819"/>
      <c r="AJ313" s="819"/>
      <c r="AK313" s="819"/>
      <c r="AL313" s="819"/>
      <c r="AM313" s="819"/>
      <c r="AN313" s="819"/>
      <c r="AO313" s="819"/>
      <c r="AP313" s="819"/>
      <c r="AQ313" s="819"/>
      <c r="AR313" s="819"/>
      <c r="AS313" s="819"/>
      <c r="AT313" s="819"/>
      <c r="AU313" s="819"/>
      <c r="AV313" s="819"/>
      <c r="AW313" s="819"/>
      <c r="AX313" s="819"/>
      <c r="AY313" s="819"/>
      <c r="AZ313" s="819"/>
      <c r="BA313" s="819"/>
    </row>
    <row r="314" spans="2:53" ht="14.1" customHeight="1">
      <c r="B314" s="819"/>
      <c r="C314" s="819"/>
      <c r="D314" s="2093"/>
      <c r="E314" s="2093"/>
      <c r="F314" s="2093"/>
      <c r="G314" s="2093"/>
      <c r="H314" s="2093"/>
      <c r="I314" s="2093"/>
      <c r="J314" s="2093"/>
      <c r="K314" s="2093"/>
      <c r="L314" s="2093"/>
      <c r="M314" s="2093"/>
      <c r="N314" s="2093"/>
      <c r="O314" s="2093"/>
      <c r="P314" s="2093"/>
      <c r="Q314" s="2093"/>
      <c r="R314" s="2093"/>
      <c r="S314" s="2093"/>
      <c r="T314" s="2093"/>
      <c r="U314" s="2093"/>
      <c r="V314" s="2093"/>
      <c r="W314" s="2093"/>
      <c r="X314" s="2093"/>
      <c r="Y314" s="2093"/>
      <c r="Z314" s="2093"/>
      <c r="AA314" s="2093"/>
      <c r="AB314" s="2093"/>
      <c r="AC314" s="2093"/>
      <c r="AE314" s="819"/>
      <c r="AF314" s="819"/>
      <c r="AG314" s="819"/>
      <c r="AH314" s="819"/>
      <c r="AI314" s="819"/>
      <c r="AJ314" s="819"/>
      <c r="AK314" s="819"/>
      <c r="AL314" s="819"/>
      <c r="AM314" s="819"/>
      <c r="AN314" s="819"/>
      <c r="AO314" s="819"/>
      <c r="AP314" s="819"/>
      <c r="AQ314" s="819"/>
      <c r="AR314" s="819"/>
      <c r="AS314" s="819"/>
      <c r="AT314" s="819"/>
      <c r="AU314" s="819"/>
      <c r="AV314" s="819"/>
      <c r="AW314" s="819"/>
      <c r="AX314" s="819"/>
      <c r="AY314" s="819"/>
      <c r="AZ314" s="819"/>
      <c r="BA314" s="819"/>
    </row>
    <row r="315" spans="2:53" ht="14.1" customHeight="1">
      <c r="B315" s="819"/>
      <c r="C315" s="819"/>
      <c r="D315" s="2093"/>
      <c r="E315" s="2093"/>
      <c r="F315" s="2093"/>
      <c r="G315" s="2093"/>
      <c r="H315" s="2093"/>
      <c r="I315" s="2093"/>
      <c r="J315" s="2093"/>
      <c r="K315" s="2093"/>
      <c r="L315" s="2093"/>
      <c r="M315" s="2093"/>
      <c r="N315" s="2093"/>
      <c r="O315" s="2093"/>
      <c r="P315" s="2093"/>
      <c r="Q315" s="2093"/>
      <c r="R315" s="2093"/>
      <c r="S315" s="2093"/>
      <c r="T315" s="2093"/>
      <c r="U315" s="2093"/>
      <c r="V315" s="2093"/>
      <c r="W315" s="2093"/>
      <c r="X315" s="2093"/>
      <c r="Y315" s="2093"/>
      <c r="Z315" s="2093"/>
      <c r="AA315" s="2093"/>
      <c r="AB315" s="2093"/>
      <c r="AC315" s="2093"/>
      <c r="AE315" s="819"/>
      <c r="AF315" s="819"/>
      <c r="AG315" s="819"/>
      <c r="AH315" s="819"/>
      <c r="AI315" s="819"/>
      <c r="AJ315" s="819"/>
      <c r="AK315" s="819"/>
      <c r="AL315" s="819"/>
      <c r="AM315" s="819"/>
      <c r="AN315" s="819"/>
      <c r="AO315" s="819"/>
      <c r="AP315" s="819"/>
      <c r="AQ315" s="819"/>
      <c r="AR315" s="819"/>
      <c r="AS315" s="819"/>
      <c r="AT315" s="819"/>
      <c r="AU315" s="819"/>
      <c r="AV315" s="819"/>
      <c r="AW315" s="819"/>
      <c r="AX315" s="819"/>
      <c r="AY315" s="819"/>
      <c r="AZ315" s="819"/>
      <c r="BA315" s="819"/>
    </row>
    <row r="316" spans="2:53" ht="14.1" customHeight="1">
      <c r="B316" s="819"/>
      <c r="C316" s="819"/>
      <c r="D316" s="2093"/>
      <c r="E316" s="2093"/>
      <c r="F316" s="2093"/>
      <c r="G316" s="2093"/>
      <c r="H316" s="2093"/>
      <c r="I316" s="2093"/>
      <c r="J316" s="2093"/>
      <c r="K316" s="2093"/>
      <c r="L316" s="2093"/>
      <c r="M316" s="2093"/>
      <c r="N316" s="2093"/>
      <c r="O316" s="2093"/>
      <c r="P316" s="2093"/>
      <c r="Q316" s="2093"/>
      <c r="R316" s="2093"/>
      <c r="S316" s="2093"/>
      <c r="T316" s="2093"/>
      <c r="U316" s="2093"/>
      <c r="V316" s="2093"/>
      <c r="W316" s="2093"/>
      <c r="X316" s="2093"/>
      <c r="Y316" s="2093"/>
      <c r="Z316" s="2093"/>
      <c r="AA316" s="2093"/>
      <c r="AB316" s="2093"/>
      <c r="AC316" s="2093"/>
      <c r="AE316" s="819"/>
      <c r="AF316" s="819"/>
      <c r="AG316" s="819"/>
      <c r="AH316" s="819"/>
      <c r="AI316" s="819"/>
      <c r="AJ316" s="819"/>
      <c r="AK316" s="819"/>
      <c r="AL316" s="819"/>
      <c r="AM316" s="819"/>
      <c r="AN316" s="819"/>
      <c r="AO316" s="819"/>
      <c r="AP316" s="819"/>
      <c r="AQ316" s="819"/>
      <c r="AR316" s="819"/>
      <c r="AS316" s="819"/>
      <c r="AT316" s="819"/>
      <c r="AU316" s="819"/>
      <c r="AV316" s="819"/>
      <c r="AW316" s="819"/>
      <c r="AX316" s="819"/>
      <c r="AY316" s="819"/>
      <c r="AZ316" s="819"/>
      <c r="BA316" s="819"/>
    </row>
    <row r="317" spans="2:53" ht="14.1" customHeight="1">
      <c r="B317" s="819"/>
      <c r="C317" s="819"/>
      <c r="D317" s="2093"/>
      <c r="E317" s="2093"/>
      <c r="F317" s="2093"/>
      <c r="G317" s="2093"/>
      <c r="H317" s="2093"/>
      <c r="I317" s="2093"/>
      <c r="J317" s="2093"/>
      <c r="K317" s="2093"/>
      <c r="L317" s="2093"/>
      <c r="M317" s="2093"/>
      <c r="N317" s="2093"/>
      <c r="O317" s="2093"/>
      <c r="P317" s="2093"/>
      <c r="Q317" s="2093"/>
      <c r="R317" s="2093"/>
      <c r="S317" s="2093"/>
      <c r="T317" s="2093"/>
      <c r="U317" s="2093"/>
      <c r="V317" s="2093"/>
      <c r="W317" s="2093"/>
      <c r="X317" s="2093"/>
      <c r="Y317" s="2093"/>
      <c r="Z317" s="2093"/>
      <c r="AA317" s="2093"/>
      <c r="AB317" s="2093"/>
      <c r="AC317" s="2093"/>
      <c r="AE317" s="819"/>
      <c r="AF317" s="819"/>
      <c r="AG317" s="819"/>
      <c r="AH317" s="819"/>
      <c r="AI317" s="819"/>
      <c r="AJ317" s="819"/>
      <c r="AK317" s="819"/>
      <c r="AL317" s="819"/>
      <c r="AM317" s="819"/>
      <c r="AN317" s="819"/>
      <c r="AO317" s="819"/>
      <c r="AP317" s="819"/>
      <c r="AQ317" s="819"/>
      <c r="AR317" s="819"/>
      <c r="AS317" s="819"/>
      <c r="AT317" s="819"/>
      <c r="AU317" s="819"/>
      <c r="AV317" s="819"/>
      <c r="AW317" s="819"/>
      <c r="AX317" s="819"/>
      <c r="AY317" s="819"/>
      <c r="AZ317" s="819"/>
      <c r="BA317" s="819"/>
    </row>
    <row r="318" spans="2:53" ht="14.1" customHeight="1">
      <c r="B318" s="819"/>
      <c r="C318" s="819"/>
      <c r="D318" s="2093"/>
      <c r="E318" s="2093"/>
      <c r="F318" s="2093"/>
      <c r="G318" s="2093"/>
      <c r="H318" s="2093"/>
      <c r="I318" s="2093"/>
      <c r="J318" s="2093"/>
      <c r="K318" s="2093"/>
      <c r="L318" s="2093"/>
      <c r="M318" s="2093"/>
      <c r="N318" s="2093"/>
      <c r="O318" s="2093"/>
      <c r="P318" s="2093"/>
      <c r="Q318" s="2093"/>
      <c r="R318" s="2093"/>
      <c r="S318" s="2093"/>
      <c r="T318" s="2093"/>
      <c r="U318" s="2093"/>
      <c r="V318" s="2093"/>
      <c r="W318" s="2093"/>
      <c r="X318" s="2093"/>
      <c r="Y318" s="2093"/>
      <c r="Z318" s="2093"/>
      <c r="AA318" s="2093"/>
      <c r="AB318" s="2093"/>
      <c r="AC318" s="2093"/>
      <c r="AE318" s="819"/>
      <c r="AF318" s="819"/>
      <c r="AG318" s="819"/>
      <c r="AH318" s="819"/>
      <c r="AI318" s="819"/>
      <c r="AJ318" s="819"/>
      <c r="AK318" s="819"/>
      <c r="AL318" s="819"/>
      <c r="AM318" s="819"/>
      <c r="AN318" s="819"/>
      <c r="AO318" s="819"/>
      <c r="AP318" s="819"/>
      <c r="AQ318" s="819"/>
      <c r="AR318" s="819"/>
      <c r="AS318" s="819"/>
      <c r="AT318" s="819"/>
      <c r="AU318" s="819"/>
      <c r="AV318" s="819"/>
      <c r="AW318" s="819"/>
      <c r="AX318" s="819"/>
      <c r="AY318" s="819"/>
      <c r="AZ318" s="819"/>
      <c r="BA318" s="819"/>
    </row>
    <row r="319" spans="2:53" ht="14.1" customHeight="1">
      <c r="B319" s="819"/>
      <c r="C319" s="819"/>
      <c r="D319" s="2093"/>
      <c r="E319" s="2093"/>
      <c r="F319" s="2093"/>
      <c r="G319" s="2093"/>
      <c r="H319" s="2093"/>
      <c r="I319" s="2093"/>
      <c r="J319" s="2093"/>
      <c r="K319" s="2093"/>
      <c r="L319" s="2093"/>
      <c r="M319" s="2093"/>
      <c r="N319" s="2093"/>
      <c r="O319" s="2093"/>
      <c r="P319" s="2093"/>
      <c r="Q319" s="2093"/>
      <c r="R319" s="2093"/>
      <c r="S319" s="2093"/>
      <c r="T319" s="2093"/>
      <c r="U319" s="2093"/>
      <c r="V319" s="2093"/>
      <c r="W319" s="2093"/>
      <c r="X319" s="2093"/>
      <c r="Y319" s="2093"/>
      <c r="Z319" s="2093"/>
      <c r="AA319" s="2093"/>
      <c r="AB319" s="2093"/>
      <c r="AC319" s="2093"/>
      <c r="AE319" s="819"/>
      <c r="AF319" s="819"/>
      <c r="AG319" s="819"/>
      <c r="AH319" s="819"/>
      <c r="AI319" s="819"/>
      <c r="AJ319" s="819"/>
      <c r="AK319" s="819"/>
      <c r="AL319" s="819"/>
      <c r="AM319" s="819"/>
      <c r="AN319" s="819"/>
      <c r="AO319" s="819"/>
      <c r="AP319" s="819"/>
      <c r="AQ319" s="819"/>
      <c r="AR319" s="819"/>
      <c r="AS319" s="819"/>
      <c r="AT319" s="819"/>
      <c r="AU319" s="819"/>
      <c r="AV319" s="819"/>
      <c r="AW319" s="819"/>
      <c r="AX319" s="819"/>
      <c r="AY319" s="819"/>
      <c r="AZ319" s="819"/>
      <c r="BA319" s="819"/>
    </row>
    <row r="320" spans="2:53" ht="14.1" customHeight="1">
      <c r="B320" s="819"/>
      <c r="C320" s="819"/>
      <c r="D320" s="2093"/>
      <c r="E320" s="2093"/>
      <c r="F320" s="2093"/>
      <c r="G320" s="2093"/>
      <c r="H320" s="2093"/>
      <c r="I320" s="2093"/>
      <c r="J320" s="2093"/>
      <c r="K320" s="2093"/>
      <c r="L320" s="2093"/>
      <c r="M320" s="2093"/>
      <c r="N320" s="2093"/>
      <c r="O320" s="2093"/>
      <c r="P320" s="2093"/>
      <c r="Q320" s="2093"/>
      <c r="R320" s="2093"/>
      <c r="S320" s="2093"/>
      <c r="T320" s="2093"/>
      <c r="U320" s="2093"/>
      <c r="V320" s="2093"/>
      <c r="W320" s="2093"/>
      <c r="X320" s="2093"/>
      <c r="Y320" s="2093"/>
      <c r="Z320" s="2093"/>
      <c r="AA320" s="2093"/>
      <c r="AB320" s="2093"/>
      <c r="AC320" s="2093"/>
      <c r="AE320" s="819"/>
      <c r="AF320" s="819"/>
      <c r="AG320" s="819"/>
      <c r="AH320" s="819"/>
      <c r="AI320" s="819"/>
      <c r="AJ320" s="819"/>
      <c r="AK320" s="819"/>
      <c r="AL320" s="819"/>
      <c r="AM320" s="819"/>
      <c r="AN320" s="819"/>
      <c r="AO320" s="819"/>
      <c r="AP320" s="819"/>
      <c r="AQ320" s="819"/>
      <c r="AR320" s="819"/>
      <c r="AS320" s="819"/>
      <c r="AT320" s="819"/>
      <c r="AU320" s="819"/>
      <c r="AV320" s="819"/>
      <c r="AW320" s="819"/>
      <c r="AX320" s="819"/>
      <c r="AY320" s="819"/>
      <c r="AZ320" s="819"/>
      <c r="BA320" s="819"/>
    </row>
    <row r="321" spans="1:57" ht="14.1" customHeight="1" thickBot="1">
      <c r="A321" s="555"/>
      <c r="B321" s="1323"/>
      <c r="C321" s="1323"/>
      <c r="D321" s="1331"/>
      <c r="E321" s="1331"/>
      <c r="F321" s="1331"/>
      <c r="G321" s="1331"/>
      <c r="H321" s="1331"/>
      <c r="I321" s="1331"/>
      <c r="J321" s="1331"/>
      <c r="K321" s="1331"/>
      <c r="L321" s="1331"/>
      <c r="M321" s="1331"/>
      <c r="N321" s="1331"/>
      <c r="O321" s="1331"/>
      <c r="P321" s="1331"/>
      <c r="Q321" s="1331"/>
      <c r="R321" s="1331"/>
      <c r="S321" s="1331"/>
      <c r="T321" s="1331"/>
      <c r="U321" s="1331"/>
      <c r="V321" s="1331"/>
      <c r="W321" s="1331"/>
      <c r="X321" s="1331"/>
      <c r="Y321" s="1331"/>
      <c r="Z321" s="1331"/>
      <c r="AA321" s="1331"/>
      <c r="AB321" s="1331"/>
      <c r="AC321" s="819"/>
      <c r="AE321" s="819"/>
      <c r="AF321" s="819"/>
      <c r="AG321" s="819"/>
      <c r="AH321" s="819"/>
      <c r="AI321" s="819"/>
      <c r="AJ321" s="819"/>
      <c r="AK321" s="819"/>
      <c r="AL321" s="819"/>
      <c r="AM321" s="819"/>
      <c r="AN321" s="819"/>
      <c r="AO321" s="819"/>
      <c r="AP321" s="819"/>
      <c r="AQ321" s="819"/>
      <c r="AR321" s="819"/>
      <c r="AS321" s="819"/>
      <c r="AT321" s="819"/>
      <c r="AU321" s="819"/>
      <c r="AV321" s="819"/>
      <c r="AW321" s="819"/>
      <c r="AX321" s="819"/>
      <c r="AY321" s="819"/>
      <c r="AZ321" s="819"/>
      <c r="BA321" s="819"/>
      <c r="BC321" s="819"/>
      <c r="BD321" s="819"/>
      <c r="BE321" s="819"/>
    </row>
    <row r="322" spans="1:57" ht="14.1" customHeight="1" thickTop="1">
      <c r="A322" s="556"/>
      <c r="B322" s="1324"/>
      <c r="C322" s="819"/>
      <c r="D322" s="819"/>
      <c r="E322" s="819"/>
      <c r="F322" s="819"/>
      <c r="G322" s="819"/>
      <c r="H322" s="819"/>
      <c r="I322" s="819"/>
      <c r="J322" s="819"/>
      <c r="K322" s="819"/>
      <c r="L322" s="819"/>
      <c r="M322" s="819"/>
      <c r="N322" s="819"/>
      <c r="O322" s="819"/>
      <c r="P322" s="819"/>
      <c r="Q322" s="819"/>
      <c r="R322" s="819"/>
      <c r="S322" s="819"/>
      <c r="T322" s="819"/>
      <c r="U322" s="819"/>
      <c r="V322" s="819"/>
      <c r="W322" s="819"/>
      <c r="X322" s="819"/>
      <c r="Y322" s="819"/>
      <c r="Z322" s="819"/>
      <c r="AA322" s="819"/>
      <c r="AB322" s="819"/>
      <c r="AC322" s="819"/>
      <c r="AE322" s="819"/>
      <c r="AF322" s="819"/>
      <c r="AG322" s="819"/>
      <c r="AH322" s="819"/>
      <c r="AI322" s="819"/>
      <c r="AJ322" s="819"/>
      <c r="AK322" s="819"/>
      <c r="AL322" s="819"/>
      <c r="AM322" s="819"/>
      <c r="AN322" s="819"/>
      <c r="AO322" s="819"/>
      <c r="AP322" s="819"/>
      <c r="AQ322" s="819"/>
      <c r="AR322" s="819"/>
      <c r="AS322" s="819"/>
      <c r="AT322" s="819"/>
      <c r="AU322" s="819"/>
      <c r="AV322" s="819"/>
      <c r="AW322" s="819"/>
      <c r="AX322" s="819"/>
      <c r="AY322" s="819"/>
      <c r="AZ322" s="819"/>
      <c r="BA322" s="819"/>
      <c r="BC322" s="819"/>
      <c r="BD322" s="819"/>
      <c r="BE322" s="819"/>
    </row>
    <row r="323" spans="1:57" ht="14.1" customHeight="1">
      <c r="A323" s="2021" t="s">
        <v>1511</v>
      </c>
      <c r="B323" s="2021"/>
      <c r="C323" s="2021"/>
      <c r="D323" s="2021"/>
      <c r="E323" s="2021"/>
      <c r="F323" s="2021"/>
      <c r="G323" s="2021"/>
      <c r="H323" s="2021"/>
      <c r="I323" s="2021"/>
      <c r="J323" s="2021"/>
      <c r="K323" s="2021"/>
      <c r="L323" s="2021"/>
      <c r="M323" s="2021"/>
      <c r="N323" s="2021"/>
      <c r="O323" s="2021"/>
      <c r="P323" s="2021"/>
      <c r="Q323" s="2021"/>
      <c r="R323" s="2021"/>
      <c r="S323" s="2021"/>
      <c r="T323" s="2021"/>
      <c r="U323" s="819"/>
      <c r="V323" s="819"/>
      <c r="W323" s="819"/>
      <c r="X323" s="819"/>
      <c r="Y323" s="819"/>
      <c r="Z323" s="819"/>
      <c r="AA323" s="819"/>
      <c r="AB323" s="819"/>
      <c r="AC323" s="819"/>
      <c r="AE323" s="819"/>
      <c r="AF323" s="819"/>
      <c r="AG323" s="819"/>
      <c r="AH323" s="819"/>
      <c r="AI323" s="819"/>
      <c r="AJ323" s="819"/>
      <c r="AK323" s="819"/>
      <c r="AL323" s="819"/>
      <c r="AM323" s="819"/>
      <c r="AN323" s="819"/>
      <c r="AO323" s="819"/>
      <c r="AP323" s="819"/>
      <c r="AQ323" s="819"/>
      <c r="AR323" s="819"/>
      <c r="AS323" s="819"/>
      <c r="AT323" s="819"/>
      <c r="AU323" s="819"/>
      <c r="AV323" s="819"/>
      <c r="AW323" s="819"/>
      <c r="AX323" s="819"/>
      <c r="AY323" s="819"/>
      <c r="AZ323" s="819"/>
      <c r="BA323" s="819"/>
      <c r="BC323" s="819"/>
      <c r="BD323" s="819"/>
      <c r="BE323" s="819"/>
    </row>
    <row r="324" spans="1:57" ht="14.1" customHeight="1">
      <c r="A324" s="1402"/>
      <c r="B324" s="1402"/>
      <c r="C324" s="1402"/>
      <c r="D324" s="1402"/>
      <c r="E324" s="1402"/>
      <c r="F324" s="1402"/>
      <c r="G324" s="1402"/>
      <c r="H324" s="1402"/>
      <c r="I324" s="1402"/>
      <c r="J324" s="1402"/>
      <c r="K324" s="1402"/>
      <c r="L324" s="1402"/>
      <c r="M324" s="1402"/>
      <c r="N324" s="1402"/>
      <c r="O324" s="1402"/>
      <c r="P324" s="1402"/>
      <c r="Q324" s="1402"/>
      <c r="R324" s="1402"/>
      <c r="S324" s="1402"/>
      <c r="T324" s="1402"/>
      <c r="U324" s="819"/>
      <c r="V324" s="819"/>
      <c r="W324" s="819"/>
      <c r="X324" s="819"/>
      <c r="Y324" s="819"/>
      <c r="Z324" s="819"/>
      <c r="AA324" s="819"/>
      <c r="AB324" s="819"/>
      <c r="AC324" s="819"/>
      <c r="AE324" s="819"/>
      <c r="AF324" s="819"/>
      <c r="AG324" s="819"/>
      <c r="AH324" s="819"/>
      <c r="AI324" s="819"/>
      <c r="AJ324" s="819"/>
      <c r="AK324" s="819"/>
      <c r="AL324" s="819"/>
      <c r="AM324" s="819"/>
      <c r="AN324" s="819"/>
      <c r="AO324" s="819"/>
      <c r="AP324" s="819"/>
      <c r="AQ324" s="819"/>
      <c r="AR324" s="819"/>
      <c r="AS324" s="819"/>
      <c r="AT324" s="819"/>
      <c r="AU324" s="819"/>
      <c r="AV324" s="819"/>
      <c r="AW324" s="819"/>
      <c r="AX324" s="819"/>
      <c r="AY324" s="819"/>
      <c r="AZ324" s="819"/>
      <c r="BA324" s="819"/>
      <c r="BC324" s="819"/>
      <c r="BD324" s="819"/>
      <c r="BE324" s="819"/>
    </row>
    <row r="325" spans="1:57" ht="14.1" customHeight="1">
      <c r="R325" s="1402"/>
      <c r="AC325" s="819"/>
      <c r="AE325" s="819"/>
      <c r="AF325" s="819"/>
      <c r="AG325" s="819"/>
      <c r="AH325" s="819"/>
      <c r="AI325" s="819"/>
      <c r="AJ325" s="819"/>
      <c r="AK325" s="819"/>
      <c r="AL325" s="819"/>
      <c r="AM325" s="819"/>
      <c r="AN325" s="819"/>
      <c r="AO325" s="819"/>
      <c r="AP325" s="819"/>
      <c r="AQ325" s="819"/>
      <c r="AR325" s="819"/>
      <c r="AS325" s="819"/>
      <c r="AT325" s="819"/>
      <c r="AU325" s="819"/>
      <c r="AV325" s="819"/>
      <c r="AW325" s="819"/>
      <c r="AX325" s="819"/>
      <c r="AY325" s="819"/>
      <c r="AZ325" s="819"/>
      <c r="BB325" s="819"/>
      <c r="BC325" s="819"/>
      <c r="BD325" s="819"/>
      <c r="BE325" s="819"/>
    </row>
    <row r="326" spans="1:57" ht="14.1" customHeight="1" thickBot="1">
      <c r="C326" s="548"/>
      <c r="R326" s="552"/>
      <c r="AC326" s="819"/>
      <c r="AE326" s="819"/>
      <c r="AF326" s="819"/>
      <c r="AG326" s="819"/>
      <c r="AH326" s="819"/>
      <c r="AI326" s="819"/>
      <c r="AJ326" s="819"/>
      <c r="AK326" s="819"/>
      <c r="AL326" s="819"/>
      <c r="AM326" s="819"/>
      <c r="AN326" s="819"/>
      <c r="AO326" s="819"/>
      <c r="AP326" s="819"/>
      <c r="AQ326" s="819"/>
      <c r="AR326" s="819"/>
      <c r="AS326" s="819"/>
      <c r="AT326" s="819"/>
      <c r="AU326" s="819"/>
      <c r="AV326" s="819"/>
      <c r="AW326" s="819"/>
      <c r="AX326" s="819"/>
      <c r="AY326" s="819"/>
      <c r="AZ326" s="819"/>
      <c r="BB326" s="819"/>
      <c r="BC326" s="819"/>
      <c r="BD326" s="819"/>
      <c r="BE326" s="819"/>
    </row>
    <row r="327" spans="1:57" ht="14.1" customHeight="1" thickTop="1" thickBot="1">
      <c r="C327" s="548"/>
      <c r="E327" s="2009" t="s">
        <v>1483</v>
      </c>
      <c r="F327" s="549"/>
      <c r="G327" s="1332"/>
      <c r="H327" s="1332"/>
      <c r="I327" s="1332"/>
      <c r="J327" s="2022" t="s">
        <v>1512</v>
      </c>
      <c r="K327" s="557"/>
      <c r="L327" s="1334"/>
      <c r="M327" s="1407"/>
      <c r="N327" s="1335"/>
      <c r="O327" s="2022" t="s">
        <v>512</v>
      </c>
      <c r="P327" s="1332"/>
      <c r="Q327" s="1332"/>
      <c r="R327" s="552"/>
      <c r="AC327" s="819"/>
      <c r="AE327" s="819"/>
      <c r="AF327" s="819"/>
      <c r="AG327" s="819"/>
      <c r="AH327" s="819"/>
      <c r="AI327" s="819"/>
      <c r="AJ327" s="819"/>
      <c r="AK327" s="819"/>
      <c r="AL327" s="819"/>
      <c r="AM327" s="819"/>
      <c r="AN327" s="819"/>
      <c r="AO327" s="819"/>
      <c r="AP327" s="819"/>
      <c r="AQ327" s="819"/>
      <c r="AR327" s="819"/>
      <c r="AS327" s="819"/>
      <c r="AT327" s="819"/>
      <c r="AU327" s="819"/>
      <c r="AV327" s="819"/>
      <c r="AW327" s="819"/>
      <c r="AX327" s="819"/>
      <c r="AY327" s="819"/>
      <c r="AZ327" s="819"/>
      <c r="BB327" s="819"/>
      <c r="BC327" s="819"/>
      <c r="BD327" s="819"/>
      <c r="BE327" s="819"/>
    </row>
    <row r="328" spans="1:57" ht="14.1" customHeight="1" thickTop="1" thickBot="1">
      <c r="C328" s="558"/>
      <c r="D328" s="569"/>
      <c r="E328" s="2010"/>
      <c r="G328" s="554"/>
      <c r="J328" s="2023"/>
      <c r="L328" s="561"/>
      <c r="M328" s="562"/>
      <c r="O328" s="2023"/>
      <c r="R328" s="552"/>
      <c r="AC328" s="819"/>
      <c r="AE328" s="819"/>
      <c r="AF328" s="819"/>
      <c r="AG328" s="819"/>
      <c r="AH328" s="819"/>
      <c r="AI328" s="819"/>
      <c r="AJ328" s="819"/>
      <c r="AK328" s="819"/>
      <c r="AL328" s="819"/>
      <c r="AM328" s="819"/>
      <c r="AN328" s="819"/>
      <c r="AO328" s="819"/>
      <c r="AP328" s="819"/>
      <c r="AQ328" s="819"/>
      <c r="AR328" s="819"/>
      <c r="AS328" s="819"/>
      <c r="AT328" s="819"/>
      <c r="AU328" s="819"/>
      <c r="AV328" s="819"/>
      <c r="AW328" s="819"/>
      <c r="AX328" s="819"/>
      <c r="AY328" s="819"/>
      <c r="AZ328" s="819"/>
      <c r="BB328" s="819"/>
      <c r="BC328" s="819"/>
      <c r="BD328" s="819"/>
      <c r="BE328" s="819"/>
    </row>
    <row r="329" spans="1:57" ht="14.1" customHeight="1" thickTop="1">
      <c r="C329" s="548"/>
      <c r="G329" s="554"/>
      <c r="L329" s="563"/>
      <c r="M329" s="564"/>
      <c r="R329" s="552"/>
      <c r="AC329" s="819"/>
      <c r="AE329" s="819"/>
      <c r="AF329" s="819"/>
      <c r="AG329" s="819"/>
      <c r="AH329" s="819"/>
      <c r="AI329" s="819"/>
      <c r="AJ329" s="819"/>
      <c r="AK329" s="819"/>
      <c r="AL329" s="819"/>
      <c r="AM329" s="819"/>
      <c r="AN329" s="819"/>
      <c r="AO329" s="819"/>
      <c r="AP329" s="819"/>
      <c r="AQ329" s="819"/>
      <c r="AR329" s="819"/>
      <c r="AS329" s="819"/>
      <c r="AT329" s="819"/>
      <c r="AU329" s="819"/>
      <c r="AV329" s="819"/>
      <c r="AW329" s="819"/>
      <c r="AX329" s="819"/>
      <c r="AY329" s="819"/>
      <c r="AZ329" s="819"/>
      <c r="BB329" s="819"/>
      <c r="BC329" s="819"/>
      <c r="BD329" s="819"/>
      <c r="BE329" s="819"/>
    </row>
    <row r="330" spans="1:57" ht="14.1" customHeight="1">
      <c r="C330" s="548"/>
      <c r="G330" s="554"/>
      <c r="L330" s="565"/>
      <c r="M330" s="566"/>
      <c r="R330" s="552"/>
      <c r="AC330" s="819"/>
      <c r="AE330" s="819"/>
      <c r="AF330" s="819"/>
      <c r="AG330" s="819"/>
      <c r="AH330" s="819"/>
      <c r="AI330" s="819"/>
      <c r="AJ330" s="819"/>
      <c r="AK330" s="819"/>
      <c r="AL330" s="819"/>
      <c r="AM330" s="819"/>
      <c r="AN330" s="819"/>
      <c r="AO330" s="819"/>
      <c r="AP330" s="819"/>
      <c r="AQ330" s="819"/>
      <c r="AR330" s="819"/>
      <c r="AS330" s="819"/>
      <c r="AT330" s="819"/>
      <c r="AU330" s="819"/>
      <c r="AV330" s="819"/>
      <c r="AW330" s="819"/>
      <c r="AX330" s="819"/>
      <c r="AY330" s="819"/>
      <c r="AZ330" s="819"/>
      <c r="BB330" s="819"/>
      <c r="BC330" s="819"/>
      <c r="BD330" s="819"/>
      <c r="BE330" s="819"/>
    </row>
    <row r="331" spans="1:57" ht="14.1" customHeight="1">
      <c r="C331" s="548"/>
      <c r="G331" s="2012" t="s">
        <v>1513</v>
      </c>
      <c r="H331" s="2012"/>
      <c r="L331" s="811" t="s">
        <v>1514</v>
      </c>
      <c r="M331" s="811"/>
      <c r="N331" s="811"/>
      <c r="O331" s="811"/>
      <c r="R331" s="552"/>
      <c r="AC331" s="819"/>
      <c r="AE331" s="819"/>
      <c r="AF331" s="819"/>
      <c r="AG331" s="819"/>
      <c r="AH331" s="819"/>
      <c r="AI331" s="819"/>
      <c r="AJ331" s="819"/>
      <c r="AK331" s="819"/>
      <c r="AL331" s="819"/>
      <c r="AM331" s="819"/>
      <c r="AN331" s="819"/>
      <c r="AO331" s="819"/>
      <c r="AP331" s="819"/>
      <c r="AQ331" s="819"/>
      <c r="AR331" s="819"/>
      <c r="AS331" s="819"/>
      <c r="AT331" s="819"/>
      <c r="AU331" s="819"/>
      <c r="AV331" s="819"/>
      <c r="AW331" s="819"/>
      <c r="AX331" s="819"/>
      <c r="AY331" s="819"/>
      <c r="AZ331" s="819"/>
      <c r="BB331" s="819"/>
      <c r="BC331" s="819"/>
      <c r="BD331" s="819"/>
      <c r="BE331" s="819"/>
    </row>
    <row r="332" spans="1:57" ht="13.8" thickBot="1">
      <c r="A332" s="1403"/>
      <c r="B332" s="1403"/>
      <c r="C332" s="548"/>
      <c r="D332" s="1403"/>
      <c r="E332" s="1403"/>
      <c r="K332" s="2012" t="s">
        <v>1515</v>
      </c>
      <c r="L332" s="2012"/>
      <c r="M332" s="2012"/>
      <c r="N332" s="2012"/>
      <c r="R332" s="552"/>
      <c r="Z332" s="819"/>
      <c r="AA332" s="819"/>
      <c r="AB332" s="819"/>
    </row>
    <row r="333" spans="1:57" ht="14.1" customHeight="1" thickTop="1" thickBot="1">
      <c r="A333" s="1403"/>
      <c r="B333" s="1403"/>
      <c r="C333" s="549"/>
      <c r="D333" s="568"/>
      <c r="E333" s="2009" t="s">
        <v>1478</v>
      </c>
      <c r="F333" s="549"/>
      <c r="G333" s="1332"/>
      <c r="H333" s="1332"/>
      <c r="I333" s="1408"/>
      <c r="J333" s="2009" t="s">
        <v>1479</v>
      </c>
      <c r="K333" s="1408"/>
      <c r="L333" s="1332"/>
      <c r="M333" s="1408"/>
      <c r="N333" s="1332"/>
      <c r="O333" s="2009" t="s">
        <v>1481</v>
      </c>
      <c r="P333" s="573"/>
      <c r="Q333" s="568"/>
      <c r="R333" s="1337"/>
      <c r="S333" s="819"/>
      <c r="T333" s="2008"/>
      <c r="U333" s="2008"/>
      <c r="V333" s="533"/>
      <c r="X333" s="819"/>
      <c r="Y333" s="819"/>
      <c r="Z333" s="819"/>
      <c r="AA333" s="819"/>
      <c r="AB333" s="819"/>
      <c r="AC333" s="819"/>
      <c r="AD333" s="609"/>
      <c r="AE333" s="819"/>
      <c r="AF333" s="819"/>
      <c r="AG333" s="819"/>
      <c r="AH333" s="819"/>
      <c r="AI333" s="819"/>
      <c r="AJ333" s="819"/>
      <c r="AK333" s="819"/>
      <c r="AL333" s="819"/>
      <c r="AM333" s="819"/>
      <c r="AN333" s="819"/>
      <c r="AO333" s="819"/>
      <c r="AP333" s="819"/>
      <c r="AQ333" s="819"/>
      <c r="AR333" s="819"/>
      <c r="AS333" s="819"/>
      <c r="AT333" s="819"/>
      <c r="AU333" s="819"/>
      <c r="AV333" s="819"/>
      <c r="AW333" s="819"/>
      <c r="AX333" s="819"/>
      <c r="AY333" s="819"/>
      <c r="AZ333" s="819"/>
      <c r="BA333" s="819"/>
      <c r="BB333" s="819"/>
      <c r="BC333" s="819"/>
      <c r="BD333" s="819"/>
    </row>
    <row r="334" spans="1:57" ht="12.75" customHeight="1" thickTop="1" thickBot="1">
      <c r="A334" s="1403"/>
      <c r="B334" s="1403"/>
      <c r="C334" s="558"/>
      <c r="D334" s="569"/>
      <c r="E334" s="2010"/>
      <c r="G334" s="554"/>
      <c r="J334" s="2010"/>
      <c r="L334" s="554"/>
      <c r="M334" s="1403"/>
      <c r="O334" s="2010"/>
      <c r="P334" s="574"/>
      <c r="Q334" s="553"/>
      <c r="R334" s="552"/>
      <c r="X334" s="819"/>
      <c r="Y334" s="819"/>
      <c r="Z334" s="819"/>
      <c r="AA334" s="819"/>
      <c r="AB334" s="819"/>
      <c r="AC334" s="819"/>
      <c r="AE334" s="819"/>
      <c r="AF334" s="819"/>
      <c r="AG334" s="819"/>
      <c r="AH334" s="819"/>
      <c r="AI334" s="819"/>
      <c r="AJ334" s="819"/>
      <c r="AK334" s="819"/>
      <c r="AL334" s="819"/>
      <c r="AM334" s="819"/>
      <c r="AN334" s="819"/>
      <c r="AO334" s="819"/>
      <c r="AP334" s="819"/>
      <c r="AQ334" s="819"/>
      <c r="AR334" s="819"/>
      <c r="AS334" s="819"/>
      <c r="AT334" s="819"/>
      <c r="AU334" s="819"/>
      <c r="AV334" s="819"/>
      <c r="AW334" s="819"/>
      <c r="AX334" s="819"/>
      <c r="AY334" s="819"/>
      <c r="AZ334" s="819"/>
      <c r="BA334" s="819"/>
      <c r="BB334" s="819"/>
      <c r="BD334" s="819"/>
      <c r="BE334" s="819"/>
    </row>
    <row r="335" spans="1:57" ht="12.75" customHeight="1" thickTop="1">
      <c r="A335" s="1403"/>
      <c r="B335" s="1403"/>
      <c r="C335" s="548"/>
      <c r="D335" s="1403"/>
      <c r="E335" s="1403"/>
      <c r="G335" s="554"/>
      <c r="L335" s="554"/>
      <c r="N335" s="819"/>
      <c r="Q335" s="1403"/>
      <c r="R335" s="548"/>
      <c r="Y335" s="819"/>
      <c r="Z335" s="819"/>
      <c r="AA335" s="819"/>
      <c r="AB335" s="819"/>
      <c r="AC335" s="819"/>
      <c r="AE335" s="819"/>
      <c r="AF335" s="819"/>
      <c r="AG335" s="819"/>
      <c r="AH335" s="819"/>
      <c r="AI335" s="819"/>
      <c r="AJ335" s="819"/>
      <c r="AK335" s="819"/>
      <c r="AL335" s="819"/>
      <c r="AM335" s="819"/>
      <c r="AN335" s="819"/>
      <c r="AO335" s="819"/>
      <c r="AP335" s="819"/>
      <c r="AQ335" s="819"/>
      <c r="AR335" s="819"/>
      <c r="AS335" s="819"/>
      <c r="AT335" s="819"/>
      <c r="AU335" s="819"/>
      <c r="AV335" s="819"/>
      <c r="AW335" s="819"/>
      <c r="AX335" s="819"/>
      <c r="AY335" s="819"/>
      <c r="AZ335" s="819"/>
      <c r="BA335" s="819"/>
      <c r="BB335" s="819"/>
      <c r="BD335" s="819"/>
      <c r="BE335" s="819"/>
    </row>
    <row r="336" spans="1:57" ht="14.1" customHeight="1">
      <c r="C336" s="552"/>
      <c r="G336" s="567"/>
      <c r="H336" s="533"/>
      <c r="L336" s="567"/>
      <c r="M336" s="533"/>
      <c r="N336" s="819"/>
      <c r="R336" s="552"/>
      <c r="AB336" s="819"/>
      <c r="AC336" s="819"/>
      <c r="AD336" s="609"/>
      <c r="AE336" s="819"/>
      <c r="AF336" s="819"/>
      <c r="AG336" s="819"/>
      <c r="AH336" s="819"/>
      <c r="AI336" s="819"/>
      <c r="AJ336" s="819"/>
      <c r="AK336" s="819"/>
      <c r="AL336" s="819"/>
      <c r="AM336" s="819"/>
      <c r="AN336" s="819"/>
      <c r="AO336" s="819"/>
      <c r="AP336" s="819"/>
      <c r="AQ336" s="819"/>
      <c r="AR336" s="819"/>
      <c r="AS336" s="819"/>
      <c r="AT336" s="819"/>
      <c r="AU336" s="819"/>
      <c r="AV336" s="819"/>
      <c r="AW336" s="819"/>
      <c r="AX336" s="819"/>
      <c r="AY336" s="819"/>
      <c r="AZ336" s="819"/>
      <c r="BA336" s="819"/>
      <c r="BB336" s="819"/>
      <c r="BC336" s="819"/>
      <c r="BD336" s="819"/>
    </row>
    <row r="337" spans="1:57">
      <c r="C337" s="552"/>
      <c r="G337" s="2012" t="s">
        <v>338</v>
      </c>
      <c r="H337" s="2012"/>
      <c r="L337" s="2012" t="s">
        <v>1480</v>
      </c>
      <c r="M337" s="2012"/>
      <c r="N337" s="819"/>
      <c r="R337" s="552"/>
      <c r="AB337" s="819"/>
      <c r="AC337" s="819"/>
    </row>
    <row r="338" spans="1:57" ht="13.8" thickBot="1">
      <c r="A338" s="1403"/>
      <c r="B338" s="1403"/>
      <c r="C338" s="548"/>
      <c r="D338" s="1403"/>
      <c r="E338" s="1403"/>
      <c r="R338" s="552"/>
      <c r="Z338" s="819"/>
      <c r="AA338" s="819"/>
      <c r="AB338" s="819"/>
      <c r="AC338" s="819"/>
    </row>
    <row r="339" spans="1:57" ht="14.1" customHeight="1" thickTop="1" thickBot="1">
      <c r="A339" s="1403"/>
      <c r="B339" s="1403"/>
      <c r="C339" s="549"/>
      <c r="D339" s="568"/>
      <c r="E339" s="2015" t="s">
        <v>69</v>
      </c>
      <c r="F339" s="549"/>
      <c r="G339" s="1332"/>
      <c r="H339" s="1332"/>
      <c r="I339" s="1408"/>
      <c r="J339" s="2009" t="s">
        <v>1473</v>
      </c>
      <c r="K339" s="1408"/>
      <c r="L339" s="1332"/>
      <c r="M339" s="1408"/>
      <c r="N339" s="1332"/>
      <c r="O339" s="2009" t="s">
        <v>1475</v>
      </c>
      <c r="P339" s="575"/>
      <c r="Q339" s="568"/>
      <c r="R339" s="1337"/>
      <c r="S339" s="819"/>
      <c r="T339" s="2008"/>
      <c r="U339" s="2008"/>
      <c r="V339" s="533"/>
      <c r="X339" s="819"/>
      <c r="Y339" s="819"/>
      <c r="Z339" s="819"/>
      <c r="AA339" s="819"/>
      <c r="AB339" s="819"/>
      <c r="AC339" s="819"/>
      <c r="AD339" s="609"/>
      <c r="AE339" s="819"/>
      <c r="AF339" s="819"/>
      <c r="AG339" s="819"/>
      <c r="AH339" s="819"/>
      <c r="AI339" s="819"/>
      <c r="AJ339" s="819"/>
      <c r="AK339" s="819"/>
      <c r="AL339" s="819"/>
      <c r="AM339" s="819"/>
      <c r="AN339" s="819"/>
      <c r="AO339" s="819"/>
      <c r="AP339" s="819"/>
      <c r="AQ339" s="819"/>
      <c r="AR339" s="819"/>
      <c r="AS339" s="819"/>
      <c r="AT339" s="819"/>
      <c r="AU339" s="819"/>
      <c r="AV339" s="819"/>
      <c r="AW339" s="819"/>
      <c r="AX339" s="819"/>
      <c r="AY339" s="819"/>
      <c r="AZ339" s="819"/>
      <c r="BA339" s="819"/>
      <c r="BB339" s="819"/>
      <c r="BC339" s="819"/>
      <c r="BD339" s="819"/>
    </row>
    <row r="340" spans="1:57" ht="12.75" customHeight="1" thickTop="1" thickBot="1">
      <c r="A340" s="1403"/>
      <c r="B340" s="1403"/>
      <c r="C340" s="558"/>
      <c r="D340" s="569"/>
      <c r="E340" s="2016"/>
      <c r="G340" s="554"/>
      <c r="J340" s="2010"/>
      <c r="K340" s="560"/>
      <c r="L340" s="554"/>
      <c r="M340" s="562"/>
      <c r="N340" s="561"/>
      <c r="O340" s="2010"/>
      <c r="P340" s="576"/>
      <c r="Q340" s="553"/>
      <c r="R340" s="552"/>
      <c r="X340" s="819"/>
      <c r="Y340" s="819"/>
      <c r="Z340" s="819"/>
      <c r="AA340" s="819"/>
      <c r="AB340" s="819"/>
      <c r="AC340" s="819"/>
      <c r="AE340" s="819"/>
      <c r="AF340" s="819"/>
      <c r="AG340" s="819"/>
      <c r="AH340" s="819"/>
      <c r="AI340" s="819"/>
      <c r="AJ340" s="819"/>
      <c r="AK340" s="819"/>
      <c r="AL340" s="819"/>
      <c r="AM340" s="819"/>
      <c r="AN340" s="819"/>
      <c r="AO340" s="819"/>
      <c r="AP340" s="819"/>
      <c r="AQ340" s="819"/>
      <c r="AR340" s="819"/>
      <c r="AS340" s="819"/>
      <c r="AT340" s="819"/>
      <c r="AU340" s="819"/>
      <c r="AV340" s="819"/>
      <c r="AW340" s="819"/>
      <c r="AX340" s="819"/>
      <c r="AY340" s="819"/>
      <c r="AZ340" s="819"/>
      <c r="BA340" s="819"/>
      <c r="BB340" s="819"/>
      <c r="BD340" s="819"/>
      <c r="BE340" s="819"/>
    </row>
    <row r="341" spans="1:57" ht="12.75" customHeight="1" thickTop="1">
      <c r="A341" s="1403"/>
      <c r="B341" s="1403"/>
      <c r="C341" s="548"/>
      <c r="D341" s="1403"/>
      <c r="E341" s="1403"/>
      <c r="G341" s="554"/>
      <c r="L341" s="554"/>
      <c r="M341" s="564"/>
      <c r="N341" s="819"/>
      <c r="Q341" s="1403"/>
      <c r="R341" s="548"/>
      <c r="Y341" s="819"/>
      <c r="Z341" s="819"/>
      <c r="AA341" s="819"/>
      <c r="AB341" s="819"/>
      <c r="AC341" s="819"/>
      <c r="AE341" s="819"/>
      <c r="AF341" s="819"/>
      <c r="AG341" s="819"/>
      <c r="AH341" s="819"/>
      <c r="AI341" s="819"/>
      <c r="AJ341" s="819"/>
      <c r="AK341" s="819"/>
      <c r="AL341" s="819"/>
      <c r="AM341" s="819"/>
      <c r="AN341" s="819"/>
      <c r="AO341" s="819"/>
      <c r="AP341" s="819"/>
      <c r="AQ341" s="819"/>
      <c r="AR341" s="819"/>
      <c r="AS341" s="819"/>
      <c r="AT341" s="819"/>
      <c r="AU341" s="819"/>
      <c r="AV341" s="819"/>
      <c r="AW341" s="819"/>
      <c r="AX341" s="819"/>
      <c r="AY341" s="819"/>
      <c r="AZ341" s="819"/>
      <c r="BA341" s="819"/>
      <c r="BB341" s="819"/>
      <c r="BD341" s="819"/>
      <c r="BE341" s="819"/>
    </row>
    <row r="342" spans="1:57" ht="14.1" customHeight="1">
      <c r="G342" s="567"/>
      <c r="H342" s="533"/>
      <c r="L342" s="567"/>
      <c r="M342" s="566"/>
      <c r="N342" s="819"/>
      <c r="AC342" s="819"/>
      <c r="AD342" s="609"/>
      <c r="AE342" s="819"/>
      <c r="AF342" s="819"/>
      <c r="AG342" s="819"/>
      <c r="AH342" s="819"/>
      <c r="AI342" s="819"/>
      <c r="AJ342" s="819"/>
      <c r="AK342" s="819"/>
      <c r="AL342" s="819"/>
      <c r="AM342" s="819"/>
      <c r="AN342" s="819"/>
      <c r="AO342" s="819"/>
      <c r="AP342" s="819"/>
      <c r="AQ342" s="819"/>
      <c r="AR342" s="819"/>
      <c r="AS342" s="819"/>
      <c r="AT342" s="819"/>
      <c r="AU342" s="819"/>
      <c r="AV342" s="819"/>
      <c r="AW342" s="819"/>
      <c r="AX342" s="819"/>
      <c r="AY342" s="819"/>
      <c r="AZ342" s="819"/>
      <c r="BA342" s="819"/>
      <c r="BB342" s="819"/>
      <c r="BC342" s="819"/>
      <c r="BD342" s="819"/>
    </row>
    <row r="343" spans="1:57">
      <c r="G343" s="2011" t="s">
        <v>349</v>
      </c>
      <c r="H343" s="2011"/>
      <c r="L343" s="2012" t="s">
        <v>341</v>
      </c>
      <c r="M343" s="2012"/>
      <c r="N343" s="819"/>
    </row>
    <row r="344" spans="1:57">
      <c r="G344" s="2011"/>
      <c r="H344" s="2011"/>
    </row>
    <row r="345" spans="1:57" ht="12.75" customHeight="1">
      <c r="G345" s="2012" t="s">
        <v>334</v>
      </c>
      <c r="H345" s="2012"/>
    </row>
    <row r="346" spans="1:57" ht="12.75" customHeight="1">
      <c r="A346" s="1403"/>
      <c r="B346" s="1403"/>
      <c r="C346" s="2008" t="s">
        <v>1476</v>
      </c>
      <c r="D346" s="2008"/>
      <c r="U346" s="819"/>
      <c r="V346" s="819"/>
      <c r="W346" s="819"/>
      <c r="X346" s="819"/>
      <c r="Y346" s="819"/>
      <c r="Z346" s="819"/>
      <c r="AA346" s="819"/>
      <c r="AB346" s="819"/>
    </row>
    <row r="347" spans="1:57" ht="14.1" customHeight="1">
      <c r="A347" s="819"/>
      <c r="B347" s="819"/>
      <c r="C347" s="819"/>
      <c r="D347" s="2093" t="s">
        <v>1516</v>
      </c>
      <c r="E347" s="2093"/>
      <c r="F347" s="2093"/>
      <c r="G347" s="2093"/>
      <c r="H347" s="2093"/>
      <c r="I347" s="2093"/>
      <c r="J347" s="2093"/>
      <c r="K347" s="2093"/>
      <c r="L347" s="2093"/>
      <c r="M347" s="2093"/>
      <c r="N347" s="2093"/>
      <c r="O347" s="2093"/>
      <c r="P347" s="2093"/>
      <c r="Q347" s="2093"/>
      <c r="R347" s="2093"/>
      <c r="S347" s="2093"/>
      <c r="T347" s="2093"/>
      <c r="U347" s="2093"/>
      <c r="V347" s="2093"/>
      <c r="W347" s="2093"/>
      <c r="X347" s="2093"/>
      <c r="Y347" s="2093"/>
      <c r="Z347" s="2093"/>
      <c r="AA347" s="2093"/>
      <c r="AB347" s="2093"/>
      <c r="AC347" s="819"/>
      <c r="AE347" s="819"/>
      <c r="AF347" s="819"/>
      <c r="AG347" s="819"/>
      <c r="AH347" s="819"/>
      <c r="AI347" s="819"/>
      <c r="AJ347" s="819"/>
      <c r="AK347" s="819"/>
      <c r="AL347" s="819"/>
      <c r="AM347" s="819"/>
      <c r="AN347" s="819"/>
      <c r="AO347" s="819"/>
      <c r="AP347" s="819"/>
      <c r="AQ347" s="819"/>
      <c r="AR347" s="819"/>
      <c r="AS347" s="819"/>
      <c r="AT347" s="819"/>
      <c r="AU347" s="819"/>
      <c r="AV347" s="819"/>
      <c r="AW347" s="819"/>
      <c r="AX347" s="819"/>
      <c r="AY347" s="819"/>
      <c r="AZ347" s="819"/>
      <c r="BB347" s="819"/>
      <c r="BC347" s="819"/>
      <c r="BD347" s="819"/>
      <c r="BE347" s="819"/>
    </row>
    <row r="348" spans="1:57" ht="14.1" customHeight="1">
      <c r="A348" s="819"/>
      <c r="B348" s="819"/>
      <c r="C348" s="819"/>
      <c r="D348" s="2093"/>
      <c r="E348" s="2093"/>
      <c r="F348" s="2093"/>
      <c r="G348" s="2093"/>
      <c r="H348" s="2093"/>
      <c r="I348" s="2093"/>
      <c r="J348" s="2093"/>
      <c r="K348" s="2093"/>
      <c r="L348" s="2093"/>
      <c r="M348" s="2093"/>
      <c r="N348" s="2093"/>
      <c r="O348" s="2093"/>
      <c r="P348" s="2093"/>
      <c r="Q348" s="2093"/>
      <c r="R348" s="2093"/>
      <c r="S348" s="2093"/>
      <c r="T348" s="2093"/>
      <c r="U348" s="2093"/>
      <c r="V348" s="2093"/>
      <c r="W348" s="2093"/>
      <c r="X348" s="2093"/>
      <c r="Y348" s="2093"/>
      <c r="Z348" s="2093"/>
      <c r="AA348" s="2093"/>
      <c r="AB348" s="2093"/>
      <c r="AC348" s="819"/>
      <c r="AE348" s="819"/>
      <c r="AF348" s="819"/>
      <c r="AG348" s="819"/>
      <c r="AH348" s="819"/>
      <c r="AI348" s="819"/>
      <c r="AJ348" s="819"/>
      <c r="AK348" s="819"/>
      <c r="AL348" s="819"/>
      <c r="AM348" s="819"/>
      <c r="AN348" s="819"/>
      <c r="AO348" s="819"/>
      <c r="AP348" s="819"/>
      <c r="AQ348" s="819"/>
      <c r="AR348" s="819"/>
      <c r="AS348" s="819"/>
      <c r="AT348" s="819"/>
      <c r="AU348" s="819"/>
      <c r="AV348" s="819"/>
      <c r="AW348" s="819"/>
      <c r="AX348" s="819"/>
      <c r="AY348" s="819"/>
      <c r="AZ348" s="819"/>
      <c r="BB348" s="819"/>
      <c r="BC348" s="819"/>
      <c r="BD348" s="819"/>
      <c r="BE348" s="819"/>
    </row>
    <row r="349" spans="1:57" ht="14.1" customHeight="1" thickBot="1">
      <c r="B349" s="1323"/>
      <c r="C349" s="1323"/>
      <c r="D349" s="1331"/>
      <c r="E349" s="1331"/>
      <c r="F349" s="1331"/>
      <c r="G349" s="1331"/>
      <c r="H349" s="1331"/>
      <c r="I349" s="1331"/>
      <c r="J349" s="1331"/>
      <c r="K349" s="1331"/>
      <c r="L349" s="1331"/>
      <c r="M349" s="1331"/>
      <c r="N349" s="1331"/>
      <c r="O349" s="1331"/>
      <c r="P349" s="1331"/>
      <c r="Q349" s="1331"/>
      <c r="R349" s="1331"/>
      <c r="S349" s="1331"/>
      <c r="T349" s="1331"/>
      <c r="U349" s="1331"/>
      <c r="V349" s="1331"/>
      <c r="W349" s="1331"/>
      <c r="X349" s="1331"/>
      <c r="Y349" s="1331"/>
      <c r="Z349" s="1331"/>
      <c r="AA349" s="1331"/>
      <c r="AB349" s="1331"/>
      <c r="AC349" s="819"/>
      <c r="AE349" s="819"/>
      <c r="AF349" s="819"/>
      <c r="AG349" s="819"/>
      <c r="AH349" s="819"/>
      <c r="AI349" s="819"/>
      <c r="AJ349" s="819"/>
      <c r="AK349" s="819"/>
      <c r="AL349" s="819"/>
      <c r="AM349" s="819"/>
      <c r="AN349" s="819"/>
      <c r="AO349" s="819"/>
      <c r="AP349" s="819"/>
      <c r="AQ349" s="819"/>
      <c r="AR349" s="819"/>
      <c r="AS349" s="819"/>
      <c r="AT349" s="819"/>
      <c r="AU349" s="819"/>
      <c r="AV349" s="819"/>
      <c r="AW349" s="819"/>
      <c r="AX349" s="819"/>
      <c r="AY349" s="819"/>
      <c r="AZ349" s="819"/>
      <c r="BA349" s="819"/>
      <c r="BC349" s="819"/>
      <c r="BD349" s="819"/>
      <c r="BE349" s="819"/>
    </row>
    <row r="350" spans="1:57" ht="14.1" customHeight="1" thickTop="1">
      <c r="B350" s="819"/>
      <c r="C350" s="819"/>
      <c r="D350" s="819"/>
      <c r="E350" s="819"/>
      <c r="F350" s="819"/>
      <c r="G350" s="819"/>
      <c r="H350" s="819"/>
      <c r="I350" s="819"/>
      <c r="J350" s="819"/>
      <c r="K350" s="819"/>
      <c r="L350" s="819"/>
      <c r="M350" s="819"/>
      <c r="N350" s="819"/>
      <c r="O350" s="819"/>
      <c r="P350" s="819"/>
      <c r="Q350" s="819"/>
      <c r="R350" s="819"/>
      <c r="S350" s="819"/>
      <c r="T350" s="819"/>
      <c r="U350" s="819"/>
      <c r="V350" s="819"/>
      <c r="W350" s="819"/>
      <c r="X350" s="819"/>
      <c r="Y350" s="819"/>
      <c r="Z350" s="819"/>
      <c r="AA350" s="819"/>
      <c r="AB350" s="819"/>
      <c r="AC350" s="819"/>
      <c r="AE350" s="819"/>
      <c r="AF350" s="819"/>
      <c r="AG350" s="819"/>
      <c r="AH350" s="819"/>
      <c r="AI350" s="819"/>
      <c r="AJ350" s="819"/>
      <c r="AK350" s="819"/>
      <c r="AL350" s="819"/>
      <c r="AM350" s="819"/>
      <c r="AN350" s="819"/>
      <c r="AO350" s="819"/>
      <c r="AP350" s="819"/>
      <c r="AQ350" s="819"/>
      <c r="AR350" s="819"/>
      <c r="AS350" s="819"/>
      <c r="AT350" s="819"/>
      <c r="AU350" s="819"/>
      <c r="AV350" s="819"/>
      <c r="AW350" s="819"/>
      <c r="AX350" s="819"/>
      <c r="AY350" s="819"/>
      <c r="AZ350" s="819"/>
      <c r="BA350" s="819"/>
      <c r="BC350" s="819"/>
      <c r="BD350" s="819"/>
      <c r="BE350" s="819"/>
    </row>
    <row r="351" spans="1:57" ht="14.1" customHeight="1">
      <c r="B351" s="819"/>
      <c r="C351" s="819"/>
      <c r="D351" s="819"/>
      <c r="E351" s="819"/>
      <c r="F351" s="819"/>
      <c r="G351" s="819"/>
      <c r="H351" s="819"/>
      <c r="I351" s="819"/>
      <c r="J351" s="819"/>
      <c r="K351" s="819"/>
      <c r="L351" s="819"/>
      <c r="M351" s="819"/>
      <c r="N351" s="819"/>
      <c r="O351" s="819"/>
      <c r="P351" s="819"/>
      <c r="Q351" s="819"/>
      <c r="R351" s="819"/>
      <c r="S351" s="819"/>
      <c r="T351" s="819"/>
      <c r="U351" s="819"/>
      <c r="V351" s="819"/>
      <c r="W351" s="819"/>
      <c r="X351" s="819"/>
      <c r="Y351" s="819"/>
      <c r="Z351" s="819"/>
      <c r="AA351" s="819"/>
      <c r="AB351" s="819"/>
      <c r="AC351" s="819"/>
      <c r="AE351" s="819"/>
      <c r="AF351" s="819"/>
      <c r="AG351" s="819"/>
      <c r="AH351" s="819"/>
      <c r="AI351" s="819"/>
      <c r="AJ351" s="819"/>
      <c r="AK351" s="819"/>
      <c r="AL351" s="819"/>
      <c r="AM351" s="819"/>
      <c r="AN351" s="819"/>
      <c r="AO351" s="819"/>
      <c r="AP351" s="819"/>
      <c r="AQ351" s="819"/>
      <c r="AR351" s="819"/>
      <c r="AS351" s="819"/>
      <c r="AT351" s="819"/>
      <c r="AU351" s="819"/>
      <c r="AV351" s="819"/>
      <c r="AW351" s="819"/>
      <c r="AX351" s="819"/>
      <c r="AY351" s="819"/>
      <c r="AZ351" s="819"/>
      <c r="BA351" s="819"/>
      <c r="BC351" s="819"/>
      <c r="BD351" s="819"/>
      <c r="BE351" s="819"/>
    </row>
    <row r="352" spans="1:57" ht="14.1" customHeight="1" thickBot="1">
      <c r="C352" s="548"/>
      <c r="R352" s="552"/>
      <c r="AC352" s="819"/>
      <c r="AE352" s="819"/>
      <c r="AF352" s="819"/>
      <c r="AG352" s="819"/>
      <c r="AH352" s="819"/>
      <c r="AI352" s="819"/>
      <c r="AJ352" s="819"/>
      <c r="AK352" s="819"/>
      <c r="AL352" s="819"/>
      <c r="AM352" s="819"/>
      <c r="AN352" s="819"/>
      <c r="AO352" s="819"/>
      <c r="AP352" s="819"/>
      <c r="AQ352" s="819"/>
      <c r="AR352" s="819"/>
      <c r="AS352" s="819"/>
      <c r="AT352" s="819"/>
      <c r="AU352" s="819"/>
      <c r="AV352" s="819"/>
      <c r="AW352" s="819"/>
      <c r="AX352" s="819"/>
      <c r="AY352" s="819"/>
      <c r="AZ352" s="819"/>
      <c r="BB352" s="819"/>
      <c r="BC352" s="819"/>
      <c r="BD352" s="819"/>
      <c r="BE352" s="819"/>
    </row>
    <row r="353" spans="1:57" ht="14.1" customHeight="1" thickTop="1" thickBot="1">
      <c r="C353" s="548"/>
      <c r="E353" s="2013" t="s">
        <v>1483</v>
      </c>
      <c r="F353" s="1408"/>
      <c r="G353" s="1332"/>
      <c r="H353" s="1332"/>
      <c r="I353" s="1332"/>
      <c r="J353" s="2009" t="s">
        <v>1512</v>
      </c>
      <c r="K353" s="1332"/>
      <c r="L353" s="1332"/>
      <c r="M353" s="1332"/>
      <c r="N353" s="1332"/>
      <c r="O353" s="2009" t="s">
        <v>512</v>
      </c>
      <c r="P353" s="1332"/>
      <c r="Q353" s="1332"/>
      <c r="R353" s="552"/>
      <c r="AC353" s="819"/>
      <c r="AE353" s="819"/>
      <c r="AF353" s="819"/>
      <c r="AG353" s="819"/>
      <c r="AH353" s="819"/>
      <c r="AI353" s="819"/>
      <c r="AJ353" s="819"/>
      <c r="AK353" s="819"/>
      <c r="AL353" s="819"/>
      <c r="AM353" s="819"/>
      <c r="AN353" s="819"/>
      <c r="AO353" s="819"/>
      <c r="AP353" s="819"/>
      <c r="AQ353" s="819"/>
      <c r="AR353" s="819"/>
      <c r="AS353" s="819"/>
      <c r="AT353" s="819"/>
      <c r="AU353" s="819"/>
      <c r="AV353" s="819"/>
      <c r="AW353" s="819"/>
      <c r="AX353" s="819"/>
      <c r="AY353" s="819"/>
      <c r="AZ353" s="819"/>
      <c r="BB353" s="819"/>
      <c r="BC353" s="819"/>
      <c r="BD353" s="819"/>
      <c r="BE353" s="819"/>
    </row>
    <row r="354" spans="1:57" ht="14.1" customHeight="1" thickTop="1" thickBot="1">
      <c r="C354" s="558"/>
      <c r="D354" s="559"/>
      <c r="E354" s="2014"/>
      <c r="G354" s="554"/>
      <c r="J354" s="2010"/>
      <c r="L354" s="554"/>
      <c r="O354" s="2010"/>
      <c r="R354" s="552"/>
      <c r="AC354" s="819"/>
      <c r="AE354" s="819"/>
      <c r="AF354" s="819"/>
      <c r="AG354" s="819"/>
      <c r="AH354" s="819"/>
      <c r="AI354" s="819"/>
      <c r="AJ354" s="819"/>
      <c r="AK354" s="819"/>
      <c r="AL354" s="819"/>
      <c r="AM354" s="819"/>
      <c r="AN354" s="819"/>
      <c r="AO354" s="819"/>
      <c r="AP354" s="819"/>
      <c r="AQ354" s="819"/>
      <c r="AR354" s="819"/>
      <c r="AS354" s="819"/>
      <c r="AT354" s="819"/>
      <c r="AU354" s="819"/>
      <c r="AV354" s="819"/>
      <c r="AW354" s="819"/>
      <c r="AX354" s="819"/>
      <c r="AY354" s="819"/>
      <c r="AZ354" s="819"/>
      <c r="BB354" s="819"/>
      <c r="BC354" s="819"/>
      <c r="BD354" s="819"/>
      <c r="BE354" s="819"/>
    </row>
    <row r="355" spans="1:57" ht="14.1" customHeight="1">
      <c r="C355" s="548"/>
      <c r="G355" s="554"/>
      <c r="L355" s="554"/>
      <c r="R355" s="552"/>
      <c r="AC355" s="819"/>
      <c r="AE355" s="819"/>
      <c r="AF355" s="819"/>
      <c r="AG355" s="819"/>
      <c r="AH355" s="819"/>
      <c r="AI355" s="819"/>
      <c r="AJ355" s="819"/>
      <c r="AK355" s="819"/>
      <c r="AL355" s="819"/>
      <c r="AM355" s="819"/>
      <c r="AN355" s="819"/>
      <c r="AO355" s="819"/>
      <c r="AP355" s="819"/>
      <c r="AQ355" s="819"/>
      <c r="AR355" s="819"/>
      <c r="AS355" s="819"/>
      <c r="AT355" s="819"/>
      <c r="AU355" s="819"/>
      <c r="AV355" s="819"/>
      <c r="AW355" s="819"/>
      <c r="AX355" s="819"/>
      <c r="AY355" s="819"/>
      <c r="AZ355" s="819"/>
      <c r="BB355" s="819"/>
      <c r="BC355" s="819"/>
      <c r="BD355" s="819"/>
      <c r="BE355" s="819"/>
    </row>
    <row r="356" spans="1:57" ht="14.1" customHeight="1">
      <c r="C356" s="548"/>
      <c r="G356" s="554"/>
      <c r="L356" s="554"/>
      <c r="R356" s="552"/>
      <c r="AC356" s="819"/>
      <c r="AE356" s="819"/>
      <c r="AF356" s="819"/>
      <c r="AG356" s="819"/>
      <c r="AH356" s="819"/>
      <c r="AI356" s="819"/>
      <c r="AJ356" s="819"/>
      <c r="AK356" s="819"/>
      <c r="AL356" s="819"/>
      <c r="AM356" s="819"/>
      <c r="AN356" s="819"/>
      <c r="AO356" s="819"/>
      <c r="AP356" s="819"/>
      <c r="AQ356" s="819"/>
      <c r="AR356" s="819"/>
      <c r="AS356" s="819"/>
      <c r="AT356" s="819"/>
      <c r="AU356" s="819"/>
      <c r="AV356" s="819"/>
      <c r="AW356" s="819"/>
      <c r="AX356" s="819"/>
      <c r="AY356" s="819"/>
      <c r="AZ356" s="819"/>
      <c r="BB356" s="819"/>
      <c r="BC356" s="819"/>
      <c r="BD356" s="819"/>
      <c r="BE356" s="819"/>
    </row>
    <row r="357" spans="1:57" ht="14.1" customHeight="1">
      <c r="C357" s="548"/>
      <c r="G357" s="2012" t="s">
        <v>1513</v>
      </c>
      <c r="H357" s="2012"/>
      <c r="L357" s="2012" t="s">
        <v>1484</v>
      </c>
      <c r="M357" s="2012"/>
      <c r="N357" s="533"/>
      <c r="R357" s="552"/>
      <c r="AC357" s="819"/>
      <c r="AE357" s="819"/>
      <c r="AF357" s="819"/>
      <c r="AG357" s="819"/>
      <c r="AH357" s="819"/>
      <c r="AI357" s="819"/>
      <c r="AJ357" s="819"/>
      <c r="AK357" s="819"/>
      <c r="AL357" s="819"/>
      <c r="AM357" s="819"/>
      <c r="AN357" s="819"/>
      <c r="AO357" s="819"/>
      <c r="AP357" s="819"/>
      <c r="AQ357" s="819"/>
      <c r="AR357" s="819"/>
      <c r="AS357" s="819"/>
      <c r="AT357" s="819"/>
      <c r="AU357" s="819"/>
      <c r="AV357" s="819"/>
      <c r="AW357" s="819"/>
      <c r="AX357" s="819"/>
      <c r="AY357" s="819"/>
      <c r="AZ357" s="819"/>
      <c r="BB357" s="819"/>
      <c r="BC357" s="819"/>
      <c r="BD357" s="819"/>
      <c r="BE357" s="819"/>
    </row>
    <row r="358" spans="1:57" ht="13.8" thickBot="1">
      <c r="A358" s="1403"/>
      <c r="B358" s="1403"/>
      <c r="C358" s="548"/>
      <c r="D358" s="1403"/>
      <c r="E358" s="1403"/>
      <c r="R358" s="552"/>
      <c r="Z358" s="819"/>
      <c r="AA358" s="819"/>
      <c r="AB358" s="819"/>
    </row>
    <row r="359" spans="1:57" ht="14.1" customHeight="1" thickTop="1" thickBot="1">
      <c r="A359" s="1403"/>
      <c r="B359" s="1403"/>
      <c r="C359" s="549"/>
      <c r="D359" s="1408"/>
      <c r="E359" s="2013" t="s">
        <v>1478</v>
      </c>
      <c r="F359" s="1408"/>
      <c r="G359" s="1332"/>
      <c r="H359" s="1332"/>
      <c r="I359" s="1408"/>
      <c r="J359" s="2009" t="s">
        <v>1479</v>
      </c>
      <c r="K359" s="1408"/>
      <c r="L359" s="1332"/>
      <c r="M359" s="1408"/>
      <c r="N359" s="1332"/>
      <c r="O359" s="2009" t="s">
        <v>1481</v>
      </c>
      <c r="P359" s="573"/>
      <c r="Q359" s="568"/>
      <c r="R359" s="1337"/>
      <c r="S359" s="819"/>
      <c r="T359" s="2008"/>
      <c r="U359" s="2008"/>
      <c r="V359" s="533"/>
      <c r="X359" s="819"/>
      <c r="Y359" s="819"/>
      <c r="Z359" s="819"/>
      <c r="AA359" s="819"/>
      <c r="AB359" s="819"/>
      <c r="AC359" s="819"/>
      <c r="AD359" s="609"/>
      <c r="AE359" s="819"/>
      <c r="AF359" s="819"/>
      <c r="AG359" s="819"/>
      <c r="AH359" s="819"/>
      <c r="AI359" s="819"/>
      <c r="AJ359" s="819"/>
      <c r="AK359" s="819"/>
      <c r="AL359" s="819"/>
      <c r="AM359" s="819"/>
      <c r="AN359" s="819"/>
      <c r="AO359" s="819"/>
      <c r="AP359" s="819"/>
      <c r="AQ359" s="819"/>
      <c r="AR359" s="819"/>
      <c r="AS359" s="819"/>
      <c r="AT359" s="819"/>
      <c r="AU359" s="819"/>
      <c r="AV359" s="819"/>
      <c r="AW359" s="819"/>
      <c r="AX359" s="819"/>
      <c r="AY359" s="819"/>
      <c r="AZ359" s="819"/>
      <c r="BA359" s="819"/>
      <c r="BB359" s="819"/>
      <c r="BC359" s="819"/>
      <c r="BD359" s="819"/>
    </row>
    <row r="360" spans="1:57" ht="12.75" customHeight="1" thickTop="1" thickBot="1">
      <c r="A360" s="1403"/>
      <c r="B360" s="1403"/>
      <c r="C360" s="558"/>
      <c r="D360" s="559"/>
      <c r="E360" s="2014"/>
      <c r="G360" s="554"/>
      <c r="J360" s="2010"/>
      <c r="L360" s="554"/>
      <c r="M360" s="1403"/>
      <c r="O360" s="2010"/>
      <c r="P360" s="574"/>
      <c r="Q360" s="553"/>
      <c r="R360" s="552"/>
      <c r="X360" s="819"/>
      <c r="Y360" s="819"/>
      <c r="Z360" s="819"/>
      <c r="AA360" s="819"/>
      <c r="AB360" s="819"/>
      <c r="AC360" s="819"/>
      <c r="AE360" s="819"/>
      <c r="AF360" s="819"/>
      <c r="AG360" s="819"/>
      <c r="AH360" s="819"/>
      <c r="AI360" s="819"/>
      <c r="AJ360" s="819"/>
      <c r="AK360" s="819"/>
      <c r="AL360" s="819"/>
      <c r="AM360" s="819"/>
      <c r="AN360" s="819"/>
      <c r="AO360" s="819"/>
      <c r="AP360" s="819"/>
      <c r="AQ360" s="819"/>
      <c r="AR360" s="819"/>
      <c r="AS360" s="819"/>
      <c r="AT360" s="819"/>
      <c r="AU360" s="819"/>
      <c r="AV360" s="819"/>
      <c r="AW360" s="819"/>
      <c r="AX360" s="819"/>
      <c r="AY360" s="819"/>
      <c r="AZ360" s="819"/>
      <c r="BA360" s="819"/>
      <c r="BB360" s="819"/>
      <c r="BD360" s="819"/>
      <c r="BE360" s="819"/>
    </row>
    <row r="361" spans="1:57" ht="12.75" customHeight="1">
      <c r="A361" s="1403"/>
      <c r="B361" s="1403"/>
      <c r="C361" s="548"/>
      <c r="D361" s="1403"/>
      <c r="E361" s="1403"/>
      <c r="G361" s="554"/>
      <c r="L361" s="554"/>
      <c r="N361" s="819"/>
      <c r="Q361" s="1403"/>
      <c r="R361" s="548"/>
      <c r="Y361" s="819"/>
      <c r="Z361" s="819"/>
      <c r="AA361" s="819"/>
      <c r="AB361" s="819"/>
      <c r="AC361" s="819"/>
      <c r="AE361" s="819"/>
      <c r="AF361" s="819"/>
      <c r="AG361" s="819"/>
      <c r="AH361" s="819"/>
      <c r="AI361" s="819"/>
      <c r="AJ361" s="819"/>
      <c r="AK361" s="819"/>
      <c r="AL361" s="819"/>
      <c r="AM361" s="819"/>
      <c r="AN361" s="819"/>
      <c r="AO361" s="819"/>
      <c r="AP361" s="819"/>
      <c r="AQ361" s="819"/>
      <c r="AR361" s="819"/>
      <c r="AS361" s="819"/>
      <c r="AT361" s="819"/>
      <c r="AU361" s="819"/>
      <c r="AV361" s="819"/>
      <c r="AW361" s="819"/>
      <c r="AX361" s="819"/>
      <c r="AY361" s="819"/>
      <c r="AZ361" s="819"/>
      <c r="BA361" s="819"/>
      <c r="BB361" s="819"/>
      <c r="BD361" s="819"/>
      <c r="BE361" s="819"/>
    </row>
    <row r="362" spans="1:57" ht="14.1" customHeight="1">
      <c r="C362" s="552"/>
      <c r="G362" s="567"/>
      <c r="H362" s="533"/>
      <c r="L362" s="567"/>
      <c r="M362" s="533"/>
      <c r="N362" s="819"/>
      <c r="R362" s="552"/>
      <c r="AB362" s="819"/>
      <c r="AC362" s="819"/>
      <c r="AD362" s="609"/>
      <c r="AE362" s="819"/>
      <c r="AF362" s="819"/>
      <c r="AG362" s="819"/>
      <c r="AH362" s="819"/>
      <c r="AI362" s="819"/>
      <c r="AJ362" s="819"/>
      <c r="AK362" s="819"/>
      <c r="AL362" s="819"/>
      <c r="AM362" s="819"/>
      <c r="AN362" s="819"/>
      <c r="AO362" s="819"/>
      <c r="AP362" s="819"/>
      <c r="AQ362" s="819"/>
      <c r="AR362" s="819"/>
      <c r="AS362" s="819"/>
      <c r="AT362" s="819"/>
      <c r="AU362" s="819"/>
      <c r="AV362" s="819"/>
      <c r="AW362" s="819"/>
      <c r="AX362" s="819"/>
      <c r="AY362" s="819"/>
      <c r="AZ362" s="819"/>
      <c r="BA362" s="819"/>
      <c r="BB362" s="819"/>
      <c r="BC362" s="819"/>
      <c r="BD362" s="819"/>
    </row>
    <row r="363" spans="1:57">
      <c r="C363" s="552"/>
      <c r="G363" s="2012" t="s">
        <v>338</v>
      </c>
      <c r="H363" s="2012"/>
      <c r="L363" s="2012" t="s">
        <v>1480</v>
      </c>
      <c r="M363" s="2012"/>
      <c r="N363" s="819"/>
      <c r="R363" s="552"/>
      <c r="AB363" s="819"/>
      <c r="AC363" s="819"/>
    </row>
    <row r="364" spans="1:57" ht="13.8" thickBot="1">
      <c r="A364" s="1403"/>
      <c r="B364" s="1403"/>
      <c r="C364" s="548"/>
      <c r="D364" s="1403"/>
      <c r="E364" s="1403"/>
      <c r="R364" s="552"/>
      <c r="Z364" s="819"/>
      <c r="AA364" s="819"/>
      <c r="AB364" s="819"/>
      <c r="AC364" s="819"/>
    </row>
    <row r="365" spans="1:57" ht="14.1" customHeight="1" thickTop="1" thickBot="1">
      <c r="A365" s="1403"/>
      <c r="B365" s="1403"/>
      <c r="C365" s="549"/>
      <c r="D365" s="568"/>
      <c r="E365" s="2015" t="s">
        <v>69</v>
      </c>
      <c r="F365" s="549"/>
      <c r="G365" s="1332"/>
      <c r="H365" s="1332"/>
      <c r="I365" s="1408"/>
      <c r="J365" s="2007" t="s">
        <v>1473</v>
      </c>
      <c r="K365" s="1408"/>
      <c r="L365" s="1332"/>
      <c r="M365" s="1408"/>
      <c r="N365" s="1332"/>
      <c r="O365" s="2009" t="s">
        <v>1475</v>
      </c>
      <c r="P365" s="575"/>
      <c r="Q365" s="568"/>
      <c r="R365" s="1337"/>
      <c r="S365" s="819"/>
      <c r="T365" s="2008"/>
      <c r="U365" s="2008"/>
      <c r="V365" s="533"/>
      <c r="X365" s="819"/>
      <c r="Y365" s="819"/>
      <c r="Z365" s="819"/>
      <c r="AA365" s="819"/>
      <c r="AB365" s="819"/>
      <c r="AC365" s="819"/>
      <c r="AD365" s="609"/>
      <c r="AE365" s="819"/>
      <c r="AF365" s="819"/>
      <c r="AG365" s="819"/>
      <c r="AH365" s="819"/>
      <c r="AI365" s="819"/>
      <c r="AJ365" s="819"/>
      <c r="AK365" s="819"/>
      <c r="AL365" s="819"/>
      <c r="AM365" s="819"/>
      <c r="AN365" s="819"/>
      <c r="AO365" s="819"/>
      <c r="AP365" s="819"/>
      <c r="AQ365" s="819"/>
      <c r="AR365" s="819"/>
      <c r="AS365" s="819"/>
      <c r="AT365" s="819"/>
      <c r="AU365" s="819"/>
      <c r="AV365" s="819"/>
      <c r="AW365" s="819"/>
      <c r="AX365" s="819"/>
      <c r="AY365" s="819"/>
      <c r="AZ365" s="819"/>
      <c r="BA365" s="819"/>
      <c r="BB365" s="819"/>
      <c r="BC365" s="819"/>
      <c r="BD365" s="819"/>
    </row>
    <row r="366" spans="1:57" ht="12.75" customHeight="1" thickTop="1" thickBot="1">
      <c r="A366" s="1403"/>
      <c r="B366" s="1403"/>
      <c r="C366" s="558"/>
      <c r="D366" s="569"/>
      <c r="E366" s="2016"/>
      <c r="G366" s="554"/>
      <c r="J366" s="2007"/>
      <c r="L366" s="554"/>
      <c r="M366" s="1403"/>
      <c r="O366" s="2010"/>
      <c r="P366" s="576"/>
      <c r="Q366" s="553"/>
      <c r="R366" s="552"/>
      <c r="X366" s="819"/>
      <c r="Y366" s="819"/>
      <c r="Z366" s="819"/>
      <c r="AA366" s="819"/>
      <c r="AB366" s="819"/>
      <c r="AC366" s="819"/>
      <c r="AE366" s="819"/>
      <c r="AF366" s="819"/>
      <c r="AG366" s="819"/>
      <c r="AH366" s="819"/>
      <c r="AI366" s="819"/>
      <c r="AJ366" s="819"/>
      <c r="AK366" s="819"/>
      <c r="AL366" s="819"/>
      <c r="AM366" s="819"/>
      <c r="AN366" s="819"/>
      <c r="AO366" s="819"/>
      <c r="AP366" s="819"/>
      <c r="AQ366" s="819"/>
      <c r="AR366" s="819"/>
      <c r="AS366" s="819"/>
      <c r="AT366" s="819"/>
      <c r="AU366" s="819"/>
      <c r="AV366" s="819"/>
      <c r="AW366" s="819"/>
      <c r="AX366" s="819"/>
      <c r="AY366" s="819"/>
      <c r="AZ366" s="819"/>
      <c r="BA366" s="819"/>
      <c r="BB366" s="819"/>
      <c r="BD366" s="819"/>
      <c r="BE366" s="819"/>
    </row>
    <row r="367" spans="1:57" ht="12.75" customHeight="1" thickTop="1">
      <c r="A367" s="1403"/>
      <c r="B367" s="1403"/>
      <c r="C367" s="548"/>
      <c r="D367" s="1403"/>
      <c r="E367" s="1403"/>
      <c r="G367" s="554"/>
      <c r="L367" s="554"/>
      <c r="N367" s="819"/>
      <c r="Q367" s="1403"/>
      <c r="R367" s="548"/>
      <c r="Y367" s="819"/>
      <c r="Z367" s="819"/>
      <c r="AA367" s="819"/>
      <c r="AB367" s="819"/>
      <c r="AC367" s="819"/>
      <c r="AE367" s="819"/>
      <c r="AF367" s="819"/>
      <c r="AG367" s="819"/>
      <c r="AH367" s="819"/>
      <c r="AI367" s="819"/>
      <c r="AJ367" s="819"/>
      <c r="AK367" s="819"/>
      <c r="AL367" s="819"/>
      <c r="AM367" s="819"/>
      <c r="AN367" s="819"/>
      <c r="AO367" s="819"/>
      <c r="AP367" s="819"/>
      <c r="AQ367" s="819"/>
      <c r="AR367" s="819"/>
      <c r="AS367" s="819"/>
      <c r="AT367" s="819"/>
      <c r="AU367" s="819"/>
      <c r="AV367" s="819"/>
      <c r="AW367" s="819"/>
      <c r="AX367" s="819"/>
      <c r="AY367" s="819"/>
      <c r="AZ367" s="819"/>
      <c r="BA367" s="819"/>
      <c r="BB367" s="819"/>
      <c r="BD367" s="819"/>
      <c r="BE367" s="819"/>
    </row>
    <row r="368" spans="1:57" ht="14.1" customHeight="1">
      <c r="B368" s="2011" t="s">
        <v>349</v>
      </c>
      <c r="C368" s="2011"/>
      <c r="G368" s="567"/>
      <c r="H368" s="533"/>
      <c r="L368" s="567"/>
      <c r="M368" s="533"/>
      <c r="N368" s="819"/>
      <c r="AC368" s="819"/>
      <c r="AD368" s="609"/>
      <c r="AE368" s="819"/>
      <c r="AF368" s="819"/>
      <c r="AG368" s="819"/>
      <c r="AH368" s="819"/>
      <c r="AI368" s="819"/>
      <c r="AJ368" s="819"/>
      <c r="AK368" s="819"/>
      <c r="AL368" s="819"/>
      <c r="AM368" s="819"/>
      <c r="AN368" s="819"/>
      <c r="AO368" s="819"/>
      <c r="AP368" s="819"/>
      <c r="AQ368" s="819"/>
      <c r="AR368" s="819"/>
      <c r="AS368" s="819"/>
      <c r="AT368" s="819"/>
      <c r="AU368" s="819"/>
      <c r="AV368" s="819"/>
      <c r="AW368" s="819"/>
      <c r="AX368" s="819"/>
      <c r="AY368" s="819"/>
      <c r="AZ368" s="819"/>
      <c r="BA368" s="819"/>
      <c r="BB368" s="819"/>
      <c r="BC368" s="819"/>
      <c r="BD368" s="819"/>
    </row>
    <row r="369" spans="1:54">
      <c r="B369" s="2011"/>
      <c r="C369" s="2011"/>
      <c r="G369" s="819"/>
      <c r="H369" s="819"/>
      <c r="L369" s="533" t="s">
        <v>1517</v>
      </c>
      <c r="M369" s="533"/>
      <c r="N369" s="819"/>
    </row>
    <row r="370" spans="1:54" ht="14.1" customHeight="1">
      <c r="B370" s="819"/>
      <c r="C370" s="819"/>
      <c r="D370" s="819"/>
      <c r="E370" s="819"/>
      <c r="F370" s="819"/>
      <c r="G370" s="819"/>
      <c r="H370" s="819"/>
      <c r="I370" s="819"/>
      <c r="J370" s="819"/>
      <c r="K370" s="819"/>
      <c r="L370" s="819"/>
      <c r="M370" s="819"/>
      <c r="N370" s="819"/>
      <c r="O370" s="819"/>
      <c r="P370" s="819"/>
      <c r="Q370" s="819"/>
      <c r="R370" s="819"/>
      <c r="S370" s="819"/>
      <c r="T370" s="819"/>
      <c r="U370" s="819"/>
      <c r="V370" s="819"/>
      <c r="W370" s="819"/>
      <c r="X370" s="819"/>
      <c r="Y370" s="819"/>
      <c r="Z370" s="819"/>
      <c r="AA370" s="819"/>
      <c r="AB370" s="819"/>
      <c r="AC370" s="819"/>
      <c r="AE370" s="819"/>
      <c r="AF370" s="819"/>
      <c r="AG370" s="819"/>
      <c r="AH370" s="819"/>
      <c r="AI370" s="819"/>
      <c r="AJ370" s="819"/>
      <c r="AK370" s="819"/>
      <c r="AL370" s="819"/>
      <c r="AM370" s="819"/>
      <c r="AN370" s="819"/>
      <c r="AO370" s="819"/>
      <c r="AP370" s="819"/>
      <c r="AQ370" s="819"/>
      <c r="AR370" s="819"/>
      <c r="AS370" s="819"/>
      <c r="AT370" s="819"/>
      <c r="AU370" s="819"/>
      <c r="AV370" s="819"/>
      <c r="AW370" s="819"/>
      <c r="AX370" s="819"/>
      <c r="AY370" s="819"/>
      <c r="AZ370" s="819"/>
      <c r="BA370" s="819"/>
    </row>
    <row r="371" spans="1:54" ht="12.75" customHeight="1"/>
    <row r="372" spans="1:54" ht="12.75" customHeight="1">
      <c r="A372" s="1403"/>
      <c r="B372" s="1403"/>
      <c r="C372" s="2008" t="s">
        <v>1485</v>
      </c>
      <c r="D372" s="2008"/>
      <c r="U372" s="819"/>
      <c r="V372" s="819"/>
      <c r="W372" s="819"/>
      <c r="X372" s="819"/>
      <c r="Y372" s="819"/>
      <c r="Z372" s="819"/>
      <c r="AA372" s="819"/>
      <c r="AB372" s="819"/>
    </row>
    <row r="373" spans="1:54" ht="12.75" customHeight="1">
      <c r="A373" s="1403"/>
      <c r="B373" s="1403"/>
      <c r="C373" s="1403"/>
      <c r="D373" s="2093" t="s">
        <v>1518</v>
      </c>
      <c r="E373" s="2093"/>
      <c r="F373" s="2093"/>
      <c r="G373" s="2093"/>
      <c r="H373" s="2093"/>
      <c r="I373" s="2093"/>
      <c r="J373" s="2093"/>
      <c r="K373" s="2093"/>
      <c r="L373" s="2093"/>
      <c r="M373" s="2093"/>
      <c r="N373" s="2093"/>
      <c r="O373" s="2093"/>
      <c r="P373" s="2093"/>
      <c r="Q373" s="2093"/>
      <c r="R373" s="2093"/>
      <c r="S373" s="2093"/>
      <c r="T373" s="2093"/>
      <c r="U373" s="2093"/>
      <c r="V373" s="2093"/>
      <c r="W373" s="2093"/>
      <c r="X373" s="2093"/>
      <c r="Y373" s="2093"/>
      <c r="Z373" s="2093"/>
      <c r="AA373" s="2093"/>
      <c r="AB373" s="2093"/>
      <c r="AC373" s="2093"/>
    </row>
    <row r="374" spans="1:54" ht="14.1" customHeight="1">
      <c r="A374" s="819"/>
      <c r="B374" s="819"/>
      <c r="C374" s="819"/>
      <c r="D374" s="2093"/>
      <c r="E374" s="2093"/>
      <c r="F374" s="2093"/>
      <c r="G374" s="2093"/>
      <c r="H374" s="2093"/>
      <c r="I374" s="2093"/>
      <c r="J374" s="2093"/>
      <c r="K374" s="2093"/>
      <c r="L374" s="2093"/>
      <c r="M374" s="2093"/>
      <c r="N374" s="2093"/>
      <c r="O374" s="2093"/>
      <c r="P374" s="2093"/>
      <c r="Q374" s="2093"/>
      <c r="R374" s="2093"/>
      <c r="S374" s="2093"/>
      <c r="T374" s="2093"/>
      <c r="U374" s="2093"/>
      <c r="V374" s="2093"/>
      <c r="W374" s="2093"/>
      <c r="X374" s="2093"/>
      <c r="Y374" s="2093"/>
      <c r="Z374" s="2093"/>
      <c r="AA374" s="2093"/>
      <c r="AB374" s="2093"/>
      <c r="AC374" s="2093"/>
      <c r="AE374" s="819"/>
      <c r="AF374" s="819"/>
      <c r="AG374" s="819"/>
      <c r="AH374" s="819"/>
      <c r="AI374" s="819"/>
      <c r="AJ374" s="819"/>
      <c r="AK374" s="819"/>
      <c r="AL374" s="819"/>
      <c r="AM374" s="819"/>
      <c r="AN374" s="819"/>
      <c r="AO374" s="819"/>
      <c r="AP374" s="819"/>
      <c r="AQ374" s="819"/>
      <c r="AR374" s="819"/>
      <c r="AS374" s="819"/>
      <c r="AT374" s="819"/>
      <c r="AU374" s="819"/>
      <c r="AV374" s="819"/>
      <c r="AW374" s="819"/>
      <c r="AX374" s="819"/>
      <c r="AY374" s="819"/>
      <c r="AZ374" s="819"/>
      <c r="BB374" s="819"/>
    </row>
    <row r="375" spans="1:54" ht="14.1" customHeight="1">
      <c r="A375" s="819"/>
      <c r="B375" s="819"/>
      <c r="C375" s="819"/>
      <c r="D375" s="2093"/>
      <c r="E375" s="2093"/>
      <c r="F375" s="2093"/>
      <c r="G375" s="2093"/>
      <c r="H375" s="2093"/>
      <c r="I375" s="2093"/>
      <c r="J375" s="2093"/>
      <c r="K375" s="2093"/>
      <c r="L375" s="2093"/>
      <c r="M375" s="2093"/>
      <c r="N375" s="2093"/>
      <c r="O375" s="2093"/>
      <c r="P375" s="2093"/>
      <c r="Q375" s="2093"/>
      <c r="R375" s="2093"/>
      <c r="S375" s="2093"/>
      <c r="T375" s="2093"/>
      <c r="U375" s="2093"/>
      <c r="V375" s="2093"/>
      <c r="W375" s="2093"/>
      <c r="X375" s="2093"/>
      <c r="Y375" s="2093"/>
      <c r="Z375" s="2093"/>
      <c r="AA375" s="2093"/>
      <c r="AB375" s="2093"/>
      <c r="AC375" s="2093"/>
      <c r="AE375" s="819"/>
      <c r="AF375" s="819"/>
      <c r="AG375" s="819"/>
      <c r="AH375" s="819"/>
      <c r="AI375" s="819"/>
      <c r="AJ375" s="819"/>
      <c r="AK375" s="819"/>
      <c r="AL375" s="819"/>
      <c r="AM375" s="819"/>
      <c r="AN375" s="819"/>
      <c r="AO375" s="819"/>
      <c r="AP375" s="819"/>
      <c r="AQ375" s="819"/>
      <c r="AR375" s="819"/>
      <c r="AS375" s="819"/>
      <c r="AT375" s="819"/>
      <c r="AU375" s="819"/>
      <c r="AV375" s="819"/>
      <c r="AW375" s="819"/>
      <c r="AX375" s="819"/>
      <c r="AY375" s="819"/>
      <c r="AZ375" s="819"/>
      <c r="BA375" s="819"/>
    </row>
    <row r="376" spans="1:54" ht="14.1" customHeight="1">
      <c r="A376" s="819"/>
      <c r="B376" s="819"/>
      <c r="C376" s="819"/>
      <c r="D376" s="2093"/>
      <c r="E376" s="2093"/>
      <c r="F376" s="2093"/>
      <c r="G376" s="2093"/>
      <c r="H376" s="2093"/>
      <c r="I376" s="2093"/>
      <c r="J376" s="2093"/>
      <c r="K376" s="2093"/>
      <c r="L376" s="2093"/>
      <c r="M376" s="2093"/>
      <c r="N376" s="2093"/>
      <c r="O376" s="2093"/>
      <c r="P376" s="2093"/>
      <c r="Q376" s="2093"/>
      <c r="R376" s="2093"/>
      <c r="S376" s="2093"/>
      <c r="T376" s="2093"/>
      <c r="U376" s="2093"/>
      <c r="V376" s="2093"/>
      <c r="W376" s="2093"/>
      <c r="X376" s="2093"/>
      <c r="Y376" s="2093"/>
      <c r="Z376" s="2093"/>
      <c r="AA376" s="2093"/>
      <c r="AB376" s="2093"/>
      <c r="AC376" s="2093"/>
      <c r="AE376" s="819"/>
      <c r="AF376" s="819"/>
      <c r="AG376" s="819"/>
      <c r="AH376" s="819"/>
      <c r="AI376" s="819"/>
      <c r="AJ376" s="819"/>
      <c r="AK376" s="819"/>
      <c r="AL376" s="819"/>
      <c r="AM376" s="819"/>
      <c r="AN376" s="819"/>
      <c r="AO376" s="819"/>
      <c r="AP376" s="819"/>
      <c r="AQ376" s="819"/>
      <c r="AR376" s="819"/>
      <c r="AS376" s="819"/>
      <c r="AT376" s="819"/>
      <c r="AU376" s="819"/>
      <c r="AV376" s="819"/>
      <c r="AW376" s="819"/>
      <c r="AX376" s="819"/>
      <c r="AY376" s="819"/>
      <c r="AZ376" s="819"/>
      <c r="BA376" s="819"/>
    </row>
    <row r="377" spans="1:54" ht="14.1" customHeight="1">
      <c r="A377" s="819"/>
      <c r="B377" s="819"/>
      <c r="C377" s="819"/>
      <c r="D377" s="2093"/>
      <c r="E377" s="2093"/>
      <c r="F377" s="2093"/>
      <c r="G377" s="2093"/>
      <c r="H377" s="2093"/>
      <c r="I377" s="2093"/>
      <c r="J377" s="2093"/>
      <c r="K377" s="2093"/>
      <c r="L377" s="2093"/>
      <c r="M377" s="2093"/>
      <c r="N377" s="2093"/>
      <c r="O377" s="2093"/>
      <c r="P377" s="2093"/>
      <c r="Q377" s="2093"/>
      <c r="R377" s="2093"/>
      <c r="S377" s="2093"/>
      <c r="T377" s="2093"/>
      <c r="U377" s="2093"/>
      <c r="V377" s="2093"/>
      <c r="W377" s="2093"/>
      <c r="X377" s="2093"/>
      <c r="Y377" s="2093"/>
      <c r="Z377" s="2093"/>
      <c r="AA377" s="2093"/>
      <c r="AB377" s="2093"/>
      <c r="AC377" s="2093"/>
      <c r="AE377" s="819"/>
      <c r="AF377" s="819"/>
      <c r="AG377" s="819"/>
      <c r="AH377" s="819"/>
      <c r="AI377" s="819"/>
      <c r="AJ377" s="819"/>
      <c r="AK377" s="819"/>
      <c r="AL377" s="819"/>
      <c r="AM377" s="819"/>
      <c r="AN377" s="819"/>
      <c r="AO377" s="819"/>
      <c r="AP377" s="819"/>
      <c r="AQ377" s="819"/>
      <c r="AR377" s="819"/>
      <c r="AS377" s="819"/>
      <c r="AT377" s="819"/>
      <c r="AU377" s="819"/>
      <c r="AV377" s="819"/>
      <c r="AW377" s="819"/>
      <c r="AX377" s="819"/>
      <c r="AY377" s="819"/>
      <c r="AZ377" s="819"/>
      <c r="BA377" s="819"/>
    </row>
    <row r="378" spans="1:54" ht="14.1" customHeight="1" thickBot="1">
      <c r="A378" s="555"/>
      <c r="B378" s="1323"/>
      <c r="C378" s="1323"/>
      <c r="D378" s="791"/>
      <c r="E378" s="791"/>
      <c r="F378" s="791"/>
      <c r="G378" s="791"/>
      <c r="H378" s="791"/>
      <c r="I378" s="791"/>
      <c r="J378" s="791"/>
      <c r="K378" s="791"/>
      <c r="L378" s="791"/>
      <c r="M378" s="791"/>
      <c r="N378" s="791"/>
      <c r="O378" s="791"/>
      <c r="P378" s="791"/>
      <c r="Q378" s="791"/>
      <c r="R378" s="791"/>
      <c r="S378" s="791"/>
      <c r="T378" s="791"/>
      <c r="U378" s="791"/>
      <c r="V378" s="791"/>
      <c r="W378" s="791"/>
      <c r="X378" s="791"/>
      <c r="Y378" s="791"/>
      <c r="Z378" s="791"/>
      <c r="AA378" s="791"/>
      <c r="AB378" s="791"/>
      <c r="AC378" s="819"/>
      <c r="AE378" s="819"/>
      <c r="AF378" s="819"/>
      <c r="AG378" s="819"/>
      <c r="AH378" s="819"/>
      <c r="AI378" s="819"/>
      <c r="AJ378" s="819"/>
      <c r="AK378" s="819"/>
      <c r="AL378" s="819"/>
      <c r="AM378" s="819"/>
      <c r="AN378" s="819"/>
      <c r="AO378" s="819"/>
      <c r="AP378" s="819"/>
      <c r="AQ378" s="819"/>
      <c r="AR378" s="819"/>
      <c r="AS378" s="819"/>
      <c r="AT378" s="819"/>
      <c r="AU378" s="819"/>
      <c r="AV378" s="819"/>
      <c r="AW378" s="819"/>
      <c r="AX378" s="819"/>
      <c r="AY378" s="819"/>
      <c r="AZ378" s="819"/>
      <c r="BA378" s="819"/>
    </row>
    <row r="379" spans="1:54" ht="14.1" customHeight="1" thickTop="1">
      <c r="A379" s="556"/>
      <c r="B379" s="1324"/>
      <c r="C379" s="819"/>
      <c r="D379" s="819"/>
      <c r="E379" s="819"/>
      <c r="F379" s="819"/>
      <c r="G379" s="819"/>
      <c r="H379" s="819"/>
      <c r="I379" s="819"/>
      <c r="J379" s="819"/>
      <c r="K379" s="819"/>
      <c r="L379" s="819"/>
      <c r="M379" s="819"/>
      <c r="N379" s="819"/>
      <c r="O379" s="819"/>
      <c r="P379" s="819"/>
      <c r="Q379" s="819"/>
      <c r="R379" s="819"/>
      <c r="S379" s="819"/>
      <c r="T379" s="819"/>
      <c r="U379" s="819"/>
      <c r="V379" s="819"/>
      <c r="W379" s="819"/>
      <c r="X379" s="819"/>
      <c r="Y379" s="819"/>
      <c r="Z379" s="819"/>
      <c r="AA379" s="819"/>
      <c r="AB379" s="819"/>
      <c r="AC379" s="819"/>
      <c r="AE379" s="819"/>
      <c r="AF379" s="819"/>
      <c r="AG379" s="819"/>
      <c r="AH379" s="819"/>
      <c r="AI379" s="819"/>
      <c r="AJ379" s="819"/>
      <c r="AK379" s="819"/>
      <c r="AL379" s="819"/>
      <c r="AM379" s="819"/>
      <c r="AN379" s="819"/>
      <c r="AO379" s="819"/>
      <c r="AP379" s="819"/>
      <c r="AQ379" s="819"/>
      <c r="AR379" s="819"/>
      <c r="AS379" s="819"/>
      <c r="AT379" s="819"/>
      <c r="AU379" s="819"/>
      <c r="AV379" s="819"/>
      <c r="AW379" s="819"/>
      <c r="AX379" s="819"/>
      <c r="AY379" s="819"/>
      <c r="AZ379" s="819"/>
      <c r="BA379" s="819"/>
    </row>
    <row r="380" spans="1:54" ht="14.1" customHeight="1">
      <c r="A380" s="2021" t="s">
        <v>1519</v>
      </c>
      <c r="B380" s="2021"/>
      <c r="C380" s="2021"/>
      <c r="D380" s="2021"/>
      <c r="E380" s="2021"/>
      <c r="F380" s="2021"/>
      <c r="G380" s="2021"/>
      <c r="H380" s="2021"/>
      <c r="I380" s="2021"/>
      <c r="J380" s="2021"/>
      <c r="K380" s="2021"/>
      <c r="L380" s="2021"/>
      <c r="M380" s="2021"/>
      <c r="N380" s="2021"/>
      <c r="O380" s="2021"/>
      <c r="P380" s="2021"/>
      <c r="Q380" s="2021"/>
      <c r="R380" s="2021"/>
      <c r="S380" s="2021"/>
      <c r="T380" s="2021"/>
      <c r="U380" s="819"/>
      <c r="V380" s="819"/>
      <c r="W380" s="819"/>
      <c r="X380" s="819"/>
      <c r="Y380" s="819"/>
      <c r="Z380" s="819"/>
      <c r="AA380" s="819"/>
      <c r="AB380" s="819"/>
      <c r="AC380" s="819"/>
      <c r="AE380" s="819"/>
      <c r="AF380" s="819"/>
      <c r="AG380" s="819"/>
      <c r="AH380" s="819"/>
      <c r="AI380" s="819"/>
      <c r="AJ380" s="819"/>
      <c r="AK380" s="819"/>
      <c r="AL380" s="819"/>
      <c r="AM380" s="819"/>
      <c r="AN380" s="819"/>
      <c r="AO380" s="819"/>
      <c r="AP380" s="819"/>
      <c r="AQ380" s="819"/>
      <c r="AR380" s="819"/>
      <c r="AS380" s="819"/>
      <c r="AT380" s="819"/>
      <c r="AU380" s="819"/>
      <c r="AV380" s="819"/>
      <c r="AW380" s="819"/>
      <c r="AX380" s="819"/>
      <c r="AY380" s="819"/>
      <c r="AZ380" s="819"/>
      <c r="BA380" s="819"/>
    </row>
    <row r="381" spans="1:54" ht="14.1" customHeight="1">
      <c r="A381" s="1402"/>
      <c r="B381" s="1402"/>
      <c r="C381" s="1402"/>
      <c r="D381" s="1402"/>
      <c r="E381" s="1402"/>
      <c r="F381" s="1402"/>
      <c r="G381" s="1402"/>
      <c r="H381" s="1402"/>
      <c r="I381" s="1402"/>
      <c r="J381" s="1402"/>
      <c r="K381" s="1402"/>
      <c r="L381" s="1402"/>
      <c r="M381" s="1402"/>
      <c r="N381" s="1402"/>
      <c r="O381" s="1402"/>
      <c r="P381" s="1402"/>
      <c r="Q381" s="1402"/>
      <c r="R381" s="1402"/>
      <c r="S381" s="1402"/>
      <c r="T381" s="1402"/>
      <c r="U381" s="819"/>
      <c r="V381" s="819"/>
      <c r="W381" s="819"/>
      <c r="X381" s="819"/>
      <c r="Y381" s="819"/>
      <c r="Z381" s="819"/>
      <c r="AA381" s="819"/>
      <c r="AB381" s="819"/>
      <c r="AC381" s="819"/>
      <c r="AE381" s="819"/>
      <c r="AF381" s="819"/>
      <c r="AG381" s="819"/>
      <c r="AH381" s="819"/>
      <c r="AI381" s="819"/>
      <c r="AJ381" s="819"/>
      <c r="AK381" s="819"/>
      <c r="AL381" s="819"/>
      <c r="AM381" s="819"/>
      <c r="AN381" s="819"/>
      <c r="AO381" s="819"/>
      <c r="AP381" s="819"/>
      <c r="AQ381" s="819"/>
      <c r="AR381" s="819"/>
      <c r="AS381" s="819"/>
      <c r="AT381" s="819"/>
      <c r="AU381" s="819"/>
      <c r="AV381" s="819"/>
      <c r="AW381" s="819"/>
      <c r="AX381" s="819"/>
      <c r="AY381" s="819"/>
      <c r="AZ381" s="819"/>
      <c r="BA381" s="819"/>
    </row>
    <row r="382" spans="1:54" ht="14.1" customHeight="1">
      <c r="A382" s="1402"/>
      <c r="B382" s="1402"/>
      <c r="C382" s="1402"/>
      <c r="D382" s="1402"/>
      <c r="E382" s="1402"/>
      <c r="F382" s="1402"/>
      <c r="G382" s="1402"/>
      <c r="H382" s="1402"/>
      <c r="I382" s="1402"/>
      <c r="J382" s="1402"/>
      <c r="K382" s="1402"/>
      <c r="L382" s="1402"/>
      <c r="M382" s="1402"/>
      <c r="N382" s="1402"/>
      <c r="O382" s="1402"/>
      <c r="P382" s="1402"/>
      <c r="Q382" s="1402"/>
      <c r="R382" s="1402"/>
      <c r="S382" s="1402"/>
      <c r="T382" s="1402"/>
      <c r="U382" s="819"/>
      <c r="V382" s="819"/>
      <c r="W382" s="819"/>
      <c r="X382" s="819"/>
      <c r="Y382" s="819"/>
      <c r="Z382" s="819"/>
      <c r="AA382" s="819"/>
      <c r="AB382" s="819"/>
      <c r="AC382" s="819"/>
      <c r="AE382" s="819"/>
      <c r="AF382" s="819"/>
      <c r="AG382" s="819"/>
      <c r="AH382" s="819"/>
      <c r="AI382" s="819"/>
      <c r="AJ382" s="819"/>
      <c r="AK382" s="819"/>
      <c r="AL382" s="819"/>
      <c r="AM382" s="819"/>
      <c r="AN382" s="819"/>
      <c r="AO382" s="819"/>
      <c r="AP382" s="819"/>
      <c r="AQ382" s="819"/>
      <c r="AR382" s="819"/>
      <c r="AS382" s="819"/>
      <c r="AT382" s="819"/>
      <c r="AU382" s="819"/>
      <c r="AV382" s="819"/>
      <c r="AW382" s="819"/>
      <c r="AX382" s="819"/>
      <c r="AY382" s="819"/>
      <c r="AZ382" s="819"/>
      <c r="BA382" s="819"/>
    </row>
    <row r="383" spans="1:54" ht="14.1" customHeight="1" thickBot="1">
      <c r="A383" s="1402"/>
      <c r="B383" s="1403"/>
      <c r="C383" s="548"/>
      <c r="D383" s="1402"/>
      <c r="E383" s="1402"/>
      <c r="F383" s="1402"/>
      <c r="G383" s="1402"/>
      <c r="H383" s="1402"/>
      <c r="I383" s="1402"/>
      <c r="J383" s="1402"/>
      <c r="K383" s="1402"/>
      <c r="L383" s="1402"/>
      <c r="M383" s="1402"/>
      <c r="N383" s="1402"/>
      <c r="O383" s="1402"/>
      <c r="P383" s="1402"/>
      <c r="Q383" s="1402"/>
      <c r="R383" s="552"/>
      <c r="S383" s="1402"/>
      <c r="T383" s="1402"/>
      <c r="U383" s="819"/>
      <c r="V383" s="819"/>
      <c r="W383" s="819"/>
      <c r="X383" s="819"/>
      <c r="Y383" s="819"/>
      <c r="Z383" s="819"/>
      <c r="AA383" s="819"/>
      <c r="AB383" s="819"/>
      <c r="AC383" s="819"/>
      <c r="AE383" s="819"/>
      <c r="AF383" s="819"/>
      <c r="AG383" s="819"/>
      <c r="AH383" s="819"/>
      <c r="AI383" s="819"/>
      <c r="AJ383" s="819"/>
      <c r="AK383" s="819"/>
      <c r="AL383" s="819"/>
      <c r="AM383" s="819"/>
      <c r="AN383" s="819"/>
      <c r="AO383" s="819"/>
      <c r="AP383" s="819"/>
      <c r="AQ383" s="819"/>
      <c r="AR383" s="819"/>
      <c r="AS383" s="819"/>
      <c r="AT383" s="819"/>
      <c r="AU383" s="819"/>
      <c r="AV383" s="819"/>
      <c r="AW383" s="819"/>
      <c r="AX383" s="819"/>
      <c r="AY383" s="819"/>
      <c r="AZ383" s="819"/>
      <c r="BA383" s="819"/>
    </row>
    <row r="384" spans="1:54" ht="14.1" customHeight="1" thickTop="1" thickBot="1">
      <c r="A384" s="1402"/>
      <c r="B384" s="1403"/>
      <c r="C384" s="548"/>
      <c r="D384" s="1408"/>
      <c r="E384" s="2009" t="s">
        <v>1483</v>
      </c>
      <c r="F384" s="1408"/>
      <c r="G384" s="1332"/>
      <c r="H384" s="1332"/>
      <c r="I384" s="1408"/>
      <c r="J384" s="2009" t="s">
        <v>1512</v>
      </c>
      <c r="K384" s="1408"/>
      <c r="L384" s="1332"/>
      <c r="M384" s="1408"/>
      <c r="N384" s="1332"/>
      <c r="O384" s="2009" t="s">
        <v>512</v>
      </c>
      <c r="P384" s="573"/>
      <c r="Q384" s="568"/>
      <c r="R384" s="1402"/>
      <c r="S384" s="1402"/>
      <c r="T384" s="1402"/>
      <c r="U384" s="819"/>
      <c r="V384" s="819"/>
      <c r="W384" s="819"/>
      <c r="X384" s="819"/>
      <c r="Y384" s="819"/>
      <c r="Z384" s="819"/>
      <c r="AA384" s="819"/>
      <c r="AB384" s="819"/>
      <c r="AC384" s="819"/>
      <c r="AE384" s="819"/>
      <c r="AF384" s="819"/>
      <c r="AG384" s="819"/>
      <c r="AH384" s="819"/>
      <c r="AI384" s="819"/>
      <c r="AJ384" s="819"/>
      <c r="AK384" s="819"/>
      <c r="AL384" s="819"/>
      <c r="AM384" s="819"/>
      <c r="AN384" s="819"/>
      <c r="AO384" s="819"/>
      <c r="AP384" s="819"/>
      <c r="AQ384" s="819"/>
      <c r="AR384" s="819"/>
      <c r="AS384" s="819"/>
      <c r="AT384" s="819"/>
      <c r="AU384" s="819"/>
      <c r="AV384" s="819"/>
      <c r="AW384" s="819"/>
      <c r="AX384" s="819"/>
      <c r="AY384" s="819"/>
      <c r="AZ384" s="819"/>
      <c r="BA384" s="819"/>
    </row>
    <row r="385" spans="1:57" ht="14.1" customHeight="1" thickTop="1" thickBot="1">
      <c r="A385" s="1402"/>
      <c r="B385" s="1403"/>
      <c r="C385" s="558"/>
      <c r="D385" s="559"/>
      <c r="E385" s="2010"/>
      <c r="G385" s="554"/>
      <c r="J385" s="2010"/>
      <c r="L385" s="554"/>
      <c r="M385" s="1403"/>
      <c r="O385" s="2010"/>
      <c r="P385" s="574"/>
      <c r="Q385" s="553"/>
      <c r="R385" s="1402"/>
      <c r="S385" s="1402"/>
      <c r="T385" s="1402"/>
      <c r="U385" s="819"/>
      <c r="V385" s="819"/>
      <c r="W385" s="819"/>
      <c r="X385" s="819"/>
      <c r="Y385" s="819"/>
      <c r="Z385" s="819"/>
      <c r="AA385" s="819"/>
      <c r="AB385" s="819"/>
      <c r="AC385" s="819"/>
      <c r="AE385" s="819"/>
      <c r="AF385" s="819"/>
      <c r="AG385" s="819"/>
      <c r="AH385" s="819"/>
      <c r="AI385" s="819"/>
      <c r="AJ385" s="819"/>
      <c r="AK385" s="819"/>
      <c r="AL385" s="819"/>
      <c r="AM385" s="819"/>
      <c r="AN385" s="819"/>
      <c r="AO385" s="819"/>
      <c r="AP385" s="819"/>
      <c r="AQ385" s="819"/>
      <c r="AR385" s="819"/>
      <c r="AS385" s="819"/>
      <c r="AT385" s="819"/>
      <c r="AU385" s="819"/>
      <c r="AV385" s="819"/>
      <c r="AW385" s="819"/>
      <c r="AX385" s="819"/>
      <c r="AY385" s="819"/>
      <c r="AZ385" s="819"/>
      <c r="BA385" s="819"/>
      <c r="BC385" s="819"/>
      <c r="BD385" s="819"/>
      <c r="BE385" s="819"/>
    </row>
    <row r="386" spans="1:57" ht="14.1" customHeight="1" thickTop="1">
      <c r="A386" s="1402"/>
      <c r="B386" s="1403"/>
      <c r="C386" s="548"/>
      <c r="D386" s="1402"/>
      <c r="E386" s="1402"/>
      <c r="F386" s="1402"/>
      <c r="G386" s="554"/>
      <c r="H386" s="1402"/>
      <c r="I386" s="1402"/>
      <c r="J386" s="1402"/>
      <c r="K386" s="1402"/>
      <c r="L386" s="554"/>
      <c r="M386" s="1402"/>
      <c r="N386" s="1402"/>
      <c r="O386" s="1402"/>
      <c r="P386" s="1402"/>
      <c r="R386" s="552"/>
      <c r="S386" s="1402"/>
      <c r="T386" s="1402"/>
      <c r="U386" s="819"/>
      <c r="V386" s="819"/>
      <c r="W386" s="819"/>
      <c r="X386" s="819"/>
      <c r="Y386" s="819"/>
      <c r="Z386" s="819"/>
      <c r="AA386" s="819"/>
      <c r="AB386" s="819"/>
      <c r="AC386" s="819"/>
      <c r="AE386" s="819"/>
      <c r="AF386" s="819"/>
      <c r="AG386" s="819"/>
      <c r="AH386" s="819"/>
      <c r="AI386" s="819"/>
      <c r="AJ386" s="819"/>
      <c r="AK386" s="819"/>
      <c r="AL386" s="819"/>
      <c r="AM386" s="819"/>
      <c r="AN386" s="819"/>
      <c r="AO386" s="819"/>
      <c r="AP386" s="819"/>
      <c r="AQ386" s="819"/>
      <c r="AR386" s="819"/>
      <c r="AS386" s="819"/>
      <c r="AT386" s="819"/>
      <c r="AU386" s="819"/>
      <c r="AV386" s="819"/>
      <c r="AW386" s="819"/>
      <c r="AX386" s="819"/>
      <c r="AY386" s="819"/>
      <c r="AZ386" s="819"/>
      <c r="BA386" s="819"/>
      <c r="BC386" s="819"/>
      <c r="BD386" s="819"/>
      <c r="BE386" s="819"/>
    </row>
    <row r="387" spans="1:57" ht="14.1" customHeight="1">
      <c r="C387" s="548"/>
      <c r="G387" s="554"/>
      <c r="L387" s="554"/>
      <c r="R387" s="552"/>
      <c r="AC387" s="819"/>
      <c r="AE387" s="819"/>
      <c r="AF387" s="819"/>
      <c r="AG387" s="819"/>
      <c r="AH387" s="819"/>
      <c r="AI387" s="819"/>
      <c r="AJ387" s="819"/>
      <c r="AK387" s="819"/>
      <c r="AL387" s="819"/>
      <c r="AM387" s="819"/>
      <c r="AN387" s="819"/>
      <c r="AO387" s="819"/>
      <c r="AP387" s="819"/>
      <c r="AQ387" s="819"/>
      <c r="AR387" s="819"/>
      <c r="AS387" s="819"/>
      <c r="AT387" s="819"/>
      <c r="AU387" s="819"/>
      <c r="AV387" s="819"/>
      <c r="AW387" s="819"/>
      <c r="AX387" s="819"/>
      <c r="AY387" s="819"/>
      <c r="AZ387" s="819"/>
      <c r="BB387" s="819"/>
      <c r="BC387" s="819"/>
      <c r="BD387" s="819"/>
      <c r="BE387" s="819"/>
    </row>
    <row r="388" spans="1:57" ht="14.1" customHeight="1">
      <c r="C388" s="548"/>
      <c r="G388" s="2012" t="s">
        <v>1513</v>
      </c>
      <c r="H388" s="2012"/>
      <c r="L388" s="2012" t="s">
        <v>1484</v>
      </c>
      <c r="M388" s="2012"/>
      <c r="R388" s="552"/>
      <c r="AC388" s="819"/>
      <c r="AE388" s="819"/>
      <c r="AF388" s="819"/>
      <c r="AG388" s="819"/>
      <c r="AH388" s="819"/>
      <c r="AI388" s="819"/>
      <c r="AJ388" s="819"/>
      <c r="AK388" s="819"/>
      <c r="AL388" s="819"/>
      <c r="AM388" s="819"/>
      <c r="AN388" s="819"/>
      <c r="AO388" s="819"/>
      <c r="AP388" s="819"/>
      <c r="AQ388" s="819"/>
      <c r="AR388" s="819"/>
      <c r="AS388" s="819"/>
      <c r="AT388" s="819"/>
      <c r="AU388" s="819"/>
      <c r="AV388" s="819"/>
      <c r="AW388" s="819"/>
      <c r="AX388" s="819"/>
      <c r="AY388" s="819"/>
      <c r="AZ388" s="819"/>
      <c r="BB388" s="819"/>
      <c r="BC388" s="819"/>
      <c r="BD388" s="819"/>
      <c r="BE388" s="819"/>
    </row>
    <row r="389" spans="1:57" ht="13.8" thickBot="1">
      <c r="A389" s="1403"/>
      <c r="B389" s="1403"/>
      <c r="C389" s="548"/>
      <c r="D389" s="1403"/>
      <c r="E389" s="1403"/>
      <c r="R389" s="552"/>
      <c r="Z389" s="819"/>
      <c r="AA389" s="819"/>
      <c r="AB389" s="819"/>
    </row>
    <row r="390" spans="1:57" ht="14.1" customHeight="1" thickTop="1" thickBot="1">
      <c r="A390" s="1403"/>
      <c r="B390" s="1403"/>
      <c r="C390" s="549"/>
      <c r="D390" s="1408"/>
      <c r="E390" s="2009" t="s">
        <v>1478</v>
      </c>
      <c r="F390" s="1408"/>
      <c r="G390" s="1332"/>
      <c r="H390" s="1332"/>
      <c r="I390" s="1408"/>
      <c r="J390" s="2009" t="s">
        <v>1479</v>
      </c>
      <c r="K390" s="1408"/>
      <c r="L390" s="1332"/>
      <c r="M390" s="1408"/>
      <c r="N390" s="1332"/>
      <c r="O390" s="2009" t="s">
        <v>1481</v>
      </c>
      <c r="P390" s="573"/>
      <c r="Q390" s="568"/>
      <c r="R390" s="1337"/>
      <c r="S390" s="819"/>
      <c r="T390" s="2008"/>
      <c r="U390" s="2008"/>
      <c r="V390" s="533"/>
      <c r="X390" s="819"/>
      <c r="Y390" s="819"/>
      <c r="Z390" s="819"/>
      <c r="AA390" s="819"/>
      <c r="AB390" s="819"/>
      <c r="AC390" s="819"/>
      <c r="AD390" s="609"/>
      <c r="AE390" s="819"/>
      <c r="AF390" s="819"/>
      <c r="AG390" s="819"/>
      <c r="AH390" s="819"/>
      <c r="AI390" s="819"/>
      <c r="AJ390" s="819"/>
      <c r="AK390" s="819"/>
      <c r="AL390" s="819"/>
      <c r="AM390" s="819"/>
      <c r="AN390" s="819"/>
      <c r="AO390" s="819"/>
      <c r="AP390" s="819"/>
      <c r="AQ390" s="819"/>
      <c r="AR390" s="819"/>
      <c r="AS390" s="819"/>
      <c r="AT390" s="819"/>
      <c r="AU390" s="819"/>
      <c r="AV390" s="819"/>
      <c r="AW390" s="819"/>
      <c r="AX390" s="819"/>
      <c r="AY390" s="819"/>
      <c r="AZ390" s="819"/>
      <c r="BA390" s="819"/>
      <c r="BB390" s="819"/>
      <c r="BC390" s="819"/>
      <c r="BD390" s="819"/>
    </row>
    <row r="391" spans="1:57" ht="12.75" customHeight="1" thickTop="1" thickBot="1">
      <c r="A391" s="1403"/>
      <c r="B391" s="1403"/>
      <c r="C391" s="558"/>
      <c r="D391" s="559"/>
      <c r="E391" s="2010"/>
      <c r="G391" s="554"/>
      <c r="J391" s="2010"/>
      <c r="L391" s="554"/>
      <c r="M391" s="1403"/>
      <c r="O391" s="2010"/>
      <c r="P391" s="574"/>
      <c r="Q391" s="553"/>
      <c r="R391" s="552"/>
      <c r="X391" s="819"/>
      <c r="Y391" s="819"/>
      <c r="Z391" s="819"/>
      <c r="AA391" s="819"/>
      <c r="AB391" s="819"/>
      <c r="AC391" s="819"/>
      <c r="AE391" s="819"/>
      <c r="AF391" s="819"/>
      <c r="AG391" s="819"/>
      <c r="AH391" s="819"/>
      <c r="AI391" s="819"/>
      <c r="AJ391" s="819"/>
      <c r="AK391" s="819"/>
      <c r="AL391" s="819"/>
      <c r="AM391" s="819"/>
      <c r="AN391" s="819"/>
      <c r="AO391" s="819"/>
      <c r="AP391" s="819"/>
      <c r="AQ391" s="819"/>
      <c r="AR391" s="819"/>
      <c r="AS391" s="819"/>
      <c r="AT391" s="819"/>
      <c r="AU391" s="819"/>
      <c r="AV391" s="819"/>
      <c r="AW391" s="819"/>
      <c r="AX391" s="819"/>
      <c r="AY391" s="819"/>
      <c r="AZ391" s="819"/>
      <c r="BA391" s="819"/>
      <c r="BB391" s="819"/>
      <c r="BD391" s="819"/>
      <c r="BE391" s="819"/>
    </row>
    <row r="392" spans="1:57" ht="12.75" customHeight="1" thickTop="1">
      <c r="A392" s="1403"/>
      <c r="B392" s="1403"/>
      <c r="C392" s="548"/>
      <c r="D392" s="1403"/>
      <c r="E392" s="1403"/>
      <c r="G392" s="554"/>
      <c r="L392" s="554"/>
      <c r="N392" s="819"/>
      <c r="Q392" s="1403"/>
      <c r="R392" s="548"/>
      <c r="Y392" s="819"/>
      <c r="Z392" s="819"/>
      <c r="AA392" s="819"/>
      <c r="AB392" s="819"/>
      <c r="AC392" s="819"/>
      <c r="AE392" s="819"/>
      <c r="AF392" s="819"/>
      <c r="AG392" s="819"/>
      <c r="AH392" s="819"/>
      <c r="AI392" s="819"/>
      <c r="AJ392" s="819"/>
      <c r="AK392" s="819"/>
      <c r="AL392" s="819"/>
      <c r="AM392" s="819"/>
      <c r="AN392" s="819"/>
      <c r="AO392" s="819"/>
      <c r="AP392" s="819"/>
      <c r="AQ392" s="819"/>
      <c r="AR392" s="819"/>
      <c r="AS392" s="819"/>
      <c r="AT392" s="819"/>
      <c r="AU392" s="819"/>
      <c r="AV392" s="819"/>
      <c r="AW392" s="819"/>
      <c r="AX392" s="819"/>
      <c r="AY392" s="819"/>
      <c r="AZ392" s="819"/>
      <c r="BA392" s="819"/>
      <c r="BB392" s="819"/>
      <c r="BD392" s="819"/>
      <c r="BE392" s="819"/>
    </row>
    <row r="393" spans="1:57" ht="14.1" customHeight="1">
      <c r="C393" s="552"/>
      <c r="G393" s="567"/>
      <c r="H393" s="533"/>
      <c r="L393" s="567"/>
      <c r="M393" s="533"/>
      <c r="N393" s="819"/>
      <c r="R393" s="552"/>
      <c r="AC393" s="819"/>
      <c r="AD393" s="609"/>
      <c r="AE393" s="819"/>
      <c r="AF393" s="819"/>
      <c r="AG393" s="819"/>
      <c r="AH393" s="819"/>
      <c r="AI393" s="819"/>
      <c r="AJ393" s="819"/>
      <c r="AK393" s="819"/>
      <c r="AL393" s="819"/>
      <c r="AM393" s="819"/>
      <c r="AN393" s="819"/>
      <c r="AO393" s="819"/>
      <c r="AP393" s="819"/>
      <c r="AQ393" s="819"/>
      <c r="AR393" s="819"/>
      <c r="AS393" s="819"/>
      <c r="AT393" s="819"/>
      <c r="AU393" s="819"/>
      <c r="AV393" s="819"/>
      <c r="AW393" s="819"/>
      <c r="AX393" s="819"/>
      <c r="AY393" s="819"/>
      <c r="AZ393" s="819"/>
      <c r="BA393" s="819"/>
      <c r="BB393" s="819"/>
      <c r="BC393" s="819"/>
      <c r="BD393" s="819"/>
    </row>
    <row r="394" spans="1:57">
      <c r="C394" s="552"/>
      <c r="G394" s="2012" t="s">
        <v>338</v>
      </c>
      <c r="H394" s="2012"/>
      <c r="L394" s="2012" t="s">
        <v>1480</v>
      </c>
      <c r="M394" s="2012"/>
      <c r="N394" s="819"/>
      <c r="R394" s="552"/>
    </row>
    <row r="395" spans="1:57" ht="13.8" thickBot="1">
      <c r="A395" s="1403"/>
      <c r="B395" s="1403"/>
      <c r="C395" s="548"/>
      <c r="D395" s="1403"/>
      <c r="E395" s="1403"/>
      <c r="R395" s="552"/>
      <c r="Z395" s="819"/>
      <c r="AA395" s="819"/>
      <c r="AB395" s="819"/>
    </row>
    <row r="396" spans="1:57" ht="14.1" customHeight="1" thickTop="1" thickBot="1">
      <c r="A396" s="1403"/>
      <c r="B396" s="1403"/>
      <c r="C396" s="549"/>
      <c r="D396" s="1408"/>
      <c r="E396" s="2007" t="s">
        <v>69</v>
      </c>
      <c r="F396" s="1408"/>
      <c r="G396" s="1332"/>
      <c r="H396" s="1332"/>
      <c r="I396" s="1408"/>
      <c r="J396" s="2005" t="s">
        <v>1473</v>
      </c>
      <c r="K396" s="1408"/>
      <c r="L396" s="1332"/>
      <c r="M396" s="1408"/>
      <c r="N396" s="1332"/>
      <c r="O396" s="2007" t="s">
        <v>1475</v>
      </c>
      <c r="P396" s="575"/>
      <c r="Q396" s="568"/>
      <c r="R396" s="1337"/>
      <c r="S396" s="819"/>
      <c r="T396" s="2008"/>
      <c r="U396" s="2008"/>
      <c r="V396" s="533"/>
      <c r="X396" s="819"/>
      <c r="Y396" s="819"/>
      <c r="Z396" s="819"/>
      <c r="AA396" s="819"/>
      <c r="AB396" s="819"/>
      <c r="AC396" s="819"/>
      <c r="AD396" s="609"/>
      <c r="AE396" s="819"/>
      <c r="AF396" s="819"/>
      <c r="AG396" s="819"/>
      <c r="AH396" s="819"/>
      <c r="AI396" s="819"/>
      <c r="AJ396" s="819"/>
      <c r="AK396" s="819"/>
      <c r="AL396" s="819"/>
      <c r="AM396" s="819"/>
      <c r="AN396" s="819"/>
      <c r="AO396" s="819"/>
      <c r="AP396" s="819"/>
      <c r="AQ396" s="819"/>
      <c r="AR396" s="819"/>
      <c r="AS396" s="819"/>
      <c r="AT396" s="819"/>
      <c r="AU396" s="819"/>
      <c r="AV396" s="819"/>
      <c r="AW396" s="819"/>
      <c r="AX396" s="819"/>
      <c r="AY396" s="819"/>
      <c r="AZ396" s="819"/>
      <c r="BA396" s="819"/>
      <c r="BB396" s="819"/>
      <c r="BC396" s="819"/>
      <c r="BD396" s="819"/>
    </row>
    <row r="397" spans="1:57" ht="12.75" customHeight="1" thickTop="1" thickBot="1">
      <c r="A397" s="1403"/>
      <c r="B397" s="1403"/>
      <c r="C397" s="558"/>
      <c r="D397" s="559"/>
      <c r="E397" s="2007"/>
      <c r="G397" s="554"/>
      <c r="J397" s="2006"/>
      <c r="L397" s="554"/>
      <c r="M397" s="1403"/>
      <c r="O397" s="2007"/>
      <c r="P397" s="576"/>
      <c r="Q397" s="553"/>
      <c r="R397" s="552"/>
      <c r="X397" s="819"/>
      <c r="Y397" s="819"/>
      <c r="Z397" s="819"/>
      <c r="AA397" s="819"/>
      <c r="AB397" s="819"/>
      <c r="AC397" s="819"/>
      <c r="AE397" s="819"/>
      <c r="AF397" s="819"/>
      <c r="AG397" s="819"/>
      <c r="AH397" s="819"/>
      <c r="AI397" s="819"/>
      <c r="AJ397" s="819"/>
      <c r="AK397" s="819"/>
      <c r="AL397" s="819"/>
      <c r="AM397" s="819"/>
      <c r="AN397" s="819"/>
      <c r="AO397" s="819"/>
      <c r="AP397" s="819"/>
      <c r="AQ397" s="819"/>
      <c r="AR397" s="819"/>
      <c r="AS397" s="819"/>
      <c r="AT397" s="819"/>
      <c r="AU397" s="819"/>
      <c r="AV397" s="819"/>
      <c r="AW397" s="819"/>
      <c r="AX397" s="819"/>
      <c r="AY397" s="819"/>
      <c r="AZ397" s="819"/>
      <c r="BA397" s="819"/>
      <c r="BB397" s="819"/>
      <c r="BD397" s="819"/>
      <c r="BE397" s="819"/>
    </row>
    <row r="398" spans="1:57" ht="12.75" customHeight="1">
      <c r="A398" s="1403"/>
      <c r="B398" s="1403"/>
      <c r="C398" s="548"/>
      <c r="D398" s="1403"/>
      <c r="E398" s="1403"/>
      <c r="G398" s="554"/>
      <c r="L398" s="554"/>
      <c r="N398" s="819"/>
      <c r="Q398" s="1403"/>
      <c r="R398" s="548"/>
      <c r="Y398" s="819"/>
      <c r="Z398" s="819"/>
      <c r="AA398" s="819"/>
      <c r="AB398" s="819"/>
      <c r="AC398" s="819"/>
      <c r="AE398" s="819"/>
      <c r="AF398" s="819"/>
      <c r="AG398" s="819"/>
      <c r="AH398" s="819"/>
      <c r="AI398" s="819"/>
      <c r="AJ398" s="819"/>
      <c r="AK398" s="819"/>
      <c r="AL398" s="819"/>
      <c r="AM398" s="819"/>
      <c r="AN398" s="819"/>
      <c r="AO398" s="819"/>
      <c r="AP398" s="819"/>
      <c r="AQ398" s="819"/>
      <c r="AR398" s="819"/>
      <c r="AS398" s="819"/>
      <c r="AT398" s="819"/>
      <c r="AU398" s="819"/>
      <c r="AV398" s="819"/>
      <c r="AW398" s="819"/>
      <c r="AX398" s="819"/>
      <c r="AY398" s="819"/>
      <c r="AZ398" s="819"/>
      <c r="BA398" s="819"/>
      <c r="BB398" s="819"/>
      <c r="BD398" s="819"/>
      <c r="BE398" s="819"/>
    </row>
    <row r="399" spans="1:57" ht="14.1" customHeight="1">
      <c r="B399" s="2011"/>
      <c r="C399" s="2011"/>
      <c r="G399" s="567"/>
      <c r="H399" s="533"/>
      <c r="L399" s="567"/>
      <c r="M399" s="533"/>
      <c r="N399" s="819"/>
      <c r="AC399" s="819"/>
      <c r="AD399" s="609"/>
      <c r="AE399" s="819"/>
      <c r="AF399" s="819"/>
      <c r="AG399" s="819"/>
      <c r="AH399" s="819"/>
      <c r="AI399" s="819"/>
      <c r="AJ399" s="819"/>
      <c r="AK399" s="819"/>
      <c r="AL399" s="819"/>
      <c r="AM399" s="819"/>
      <c r="AN399" s="819"/>
      <c r="AO399" s="819"/>
      <c r="AP399" s="819"/>
      <c r="AQ399" s="819"/>
      <c r="AR399" s="819"/>
      <c r="AS399" s="819"/>
      <c r="AT399" s="819"/>
      <c r="AU399" s="819"/>
      <c r="AV399" s="819"/>
      <c r="AW399" s="819"/>
      <c r="AX399" s="819"/>
      <c r="AY399" s="819"/>
      <c r="AZ399" s="819"/>
      <c r="BA399" s="819"/>
      <c r="BB399" s="819"/>
      <c r="BC399" s="819"/>
      <c r="BD399" s="819"/>
    </row>
    <row r="400" spans="1:57" ht="12.75" customHeight="1">
      <c r="B400" s="2011"/>
      <c r="C400" s="2011"/>
      <c r="G400" s="2012" t="s">
        <v>334</v>
      </c>
      <c r="H400" s="2012"/>
      <c r="L400" s="2011" t="s">
        <v>349</v>
      </c>
      <c r="M400" s="2011"/>
      <c r="N400" s="819"/>
    </row>
    <row r="401" spans="1:54" ht="12.75" customHeight="1">
      <c r="G401" s="764"/>
      <c r="H401" s="764"/>
      <c r="L401" s="2011"/>
      <c r="M401" s="2011"/>
    </row>
    <row r="402" spans="1:54" ht="12.75" customHeight="1">
      <c r="L402" s="2012" t="s">
        <v>1520</v>
      </c>
      <c r="M402" s="2012"/>
    </row>
    <row r="403" spans="1:54" ht="12.75" customHeight="1">
      <c r="A403" s="1403"/>
      <c r="B403" s="1403"/>
      <c r="C403" s="2008" t="s">
        <v>1476</v>
      </c>
      <c r="D403" s="2008"/>
      <c r="U403" s="819"/>
      <c r="V403" s="819"/>
      <c r="W403" s="819"/>
      <c r="X403" s="819"/>
      <c r="Y403" s="819"/>
      <c r="Z403" s="819"/>
      <c r="AA403" s="819"/>
      <c r="AB403" s="819"/>
    </row>
    <row r="404" spans="1:54" ht="14.1" customHeight="1">
      <c r="A404" s="819"/>
      <c r="B404" s="819"/>
      <c r="C404" s="819"/>
      <c r="D404" s="2093" t="s">
        <v>1521</v>
      </c>
      <c r="E404" s="2093"/>
      <c r="F404" s="2093"/>
      <c r="G404" s="2093"/>
      <c r="H404" s="2093"/>
      <c r="I404" s="2093"/>
      <c r="J404" s="2093"/>
      <c r="K404" s="2093"/>
      <c r="L404" s="2093"/>
      <c r="M404" s="2093"/>
      <c r="N404" s="2093"/>
      <c r="O404" s="2093"/>
      <c r="P404" s="2093"/>
      <c r="Q404" s="2093"/>
      <c r="R404" s="2093"/>
      <c r="S404" s="2093"/>
      <c r="T404" s="2093"/>
      <c r="U404" s="2093"/>
      <c r="V404" s="2093"/>
      <c r="W404" s="2093"/>
      <c r="X404" s="2093"/>
      <c r="Y404" s="2093"/>
      <c r="Z404" s="2093"/>
      <c r="AA404" s="2093"/>
      <c r="AB404" s="2093"/>
      <c r="AC404" s="819"/>
      <c r="AE404" s="819"/>
      <c r="AF404" s="819"/>
      <c r="AG404" s="819"/>
      <c r="AH404" s="819"/>
      <c r="AI404" s="819"/>
      <c r="AJ404" s="819"/>
      <c r="AK404" s="819"/>
      <c r="AL404" s="819"/>
      <c r="AM404" s="819"/>
      <c r="AN404" s="819"/>
      <c r="AO404" s="819"/>
      <c r="AP404" s="819"/>
      <c r="AQ404" s="819"/>
      <c r="AR404" s="819"/>
      <c r="AS404" s="819"/>
      <c r="AT404" s="819"/>
      <c r="AU404" s="819"/>
      <c r="AV404" s="819"/>
      <c r="AW404" s="819"/>
      <c r="AX404" s="819"/>
      <c r="AY404" s="819"/>
      <c r="AZ404" s="819"/>
      <c r="BB404" s="819"/>
    </row>
    <row r="405" spans="1:54" ht="14.1" customHeight="1">
      <c r="A405" s="819"/>
      <c r="B405" s="819"/>
      <c r="C405" s="819"/>
      <c r="D405" s="2093"/>
      <c r="E405" s="2093"/>
      <c r="F405" s="2093"/>
      <c r="G405" s="2093"/>
      <c r="H405" s="2093"/>
      <c r="I405" s="2093"/>
      <c r="J405" s="2093"/>
      <c r="K405" s="2093"/>
      <c r="L405" s="2093"/>
      <c r="M405" s="2093"/>
      <c r="N405" s="2093"/>
      <c r="O405" s="2093"/>
      <c r="P405" s="2093"/>
      <c r="Q405" s="2093"/>
      <c r="R405" s="2093"/>
      <c r="S405" s="2093"/>
      <c r="T405" s="2093"/>
      <c r="U405" s="2093"/>
      <c r="V405" s="2093"/>
      <c r="W405" s="2093"/>
      <c r="X405" s="2093"/>
      <c r="Y405" s="2093"/>
      <c r="Z405" s="2093"/>
      <c r="AA405" s="2093"/>
      <c r="AB405" s="2093"/>
      <c r="AC405" s="819"/>
      <c r="AE405" s="819"/>
      <c r="AF405" s="819"/>
      <c r="AG405" s="819"/>
      <c r="AH405" s="819"/>
      <c r="AI405" s="819"/>
      <c r="AJ405" s="819"/>
      <c r="AK405" s="819"/>
      <c r="AL405" s="819"/>
      <c r="AM405" s="819"/>
      <c r="AN405" s="819"/>
      <c r="AO405" s="819"/>
      <c r="AP405" s="819"/>
      <c r="AQ405" s="819"/>
      <c r="AR405" s="819"/>
      <c r="AS405" s="819"/>
      <c r="AT405" s="819"/>
      <c r="AU405" s="819"/>
      <c r="AV405" s="819"/>
      <c r="AW405" s="819"/>
      <c r="AX405" s="819"/>
      <c r="AY405" s="819"/>
      <c r="AZ405" s="819"/>
      <c r="BA405" s="819"/>
    </row>
    <row r="406" spans="1:54" ht="14.1" customHeight="1">
      <c r="A406" s="819"/>
      <c r="B406" s="819"/>
      <c r="C406" s="819"/>
      <c r="D406" s="2093"/>
      <c r="E406" s="2093"/>
      <c r="F406" s="2093"/>
      <c r="G406" s="2093"/>
      <c r="H406" s="2093"/>
      <c r="I406" s="2093"/>
      <c r="J406" s="2093"/>
      <c r="K406" s="2093"/>
      <c r="L406" s="2093"/>
      <c r="M406" s="2093"/>
      <c r="N406" s="2093"/>
      <c r="O406" s="2093"/>
      <c r="P406" s="2093"/>
      <c r="Q406" s="2093"/>
      <c r="R406" s="2093"/>
      <c r="S406" s="2093"/>
      <c r="T406" s="2093"/>
      <c r="U406" s="2093"/>
      <c r="V406" s="2093"/>
      <c r="W406" s="2093"/>
      <c r="X406" s="2093"/>
      <c r="Y406" s="2093"/>
      <c r="Z406" s="2093"/>
      <c r="AA406" s="2093"/>
      <c r="AB406" s="2093"/>
      <c r="AC406" s="819"/>
      <c r="AE406" s="819"/>
      <c r="AF406" s="819"/>
      <c r="AG406" s="819"/>
      <c r="AH406" s="819"/>
      <c r="AI406" s="819"/>
      <c r="AJ406" s="819"/>
      <c r="AK406" s="819"/>
      <c r="AL406" s="819"/>
      <c r="AM406" s="819"/>
      <c r="AN406" s="819"/>
      <c r="AO406" s="819"/>
      <c r="AP406" s="819"/>
      <c r="AQ406" s="819"/>
      <c r="AR406" s="819"/>
      <c r="AS406" s="819"/>
      <c r="AT406" s="819"/>
      <c r="AU406" s="819"/>
      <c r="AV406" s="819"/>
      <c r="AW406" s="819"/>
      <c r="AX406" s="819"/>
      <c r="AY406" s="819"/>
      <c r="AZ406" s="819"/>
      <c r="BA406" s="819"/>
    </row>
    <row r="407" spans="1:54" ht="14.1" customHeight="1">
      <c r="A407" s="819"/>
      <c r="B407" s="819"/>
      <c r="C407" s="819"/>
      <c r="D407" s="2093"/>
      <c r="E407" s="2093"/>
      <c r="F407" s="2093"/>
      <c r="G407" s="2093"/>
      <c r="H407" s="2093"/>
      <c r="I407" s="2093"/>
      <c r="J407" s="2093"/>
      <c r="K407" s="2093"/>
      <c r="L407" s="2093"/>
      <c r="M407" s="2093"/>
      <c r="N407" s="2093"/>
      <c r="O407" s="2093"/>
      <c r="P407" s="2093"/>
      <c r="Q407" s="2093"/>
      <c r="R407" s="2093"/>
      <c r="S407" s="2093"/>
      <c r="T407" s="2093"/>
      <c r="U407" s="2093"/>
      <c r="V407" s="2093"/>
      <c r="W407" s="2093"/>
      <c r="X407" s="2093"/>
      <c r="Y407" s="2093"/>
      <c r="Z407" s="2093"/>
      <c r="AA407" s="2093"/>
      <c r="AB407" s="2093"/>
      <c r="AC407" s="819"/>
      <c r="AE407" s="819"/>
      <c r="AF407" s="819"/>
      <c r="AG407" s="819"/>
      <c r="AH407" s="819"/>
      <c r="AI407" s="819"/>
      <c r="AJ407" s="819"/>
      <c r="AK407" s="819"/>
      <c r="AL407" s="819"/>
      <c r="AM407" s="819"/>
      <c r="AN407" s="819"/>
      <c r="AO407" s="819"/>
      <c r="AP407" s="819"/>
      <c r="AQ407" s="819"/>
      <c r="AR407" s="819"/>
      <c r="AS407" s="819"/>
      <c r="AT407" s="819"/>
      <c r="AU407" s="819"/>
      <c r="AV407" s="819"/>
      <c r="AW407" s="819"/>
      <c r="AX407" s="819"/>
      <c r="AY407" s="819"/>
      <c r="AZ407" s="819"/>
      <c r="BA407" s="819"/>
    </row>
    <row r="408" spans="1:54" ht="14.1" customHeight="1" thickBot="1">
      <c r="B408" s="1323"/>
      <c r="C408" s="1323"/>
      <c r="D408" s="1331"/>
      <c r="E408" s="1331"/>
      <c r="F408" s="1331"/>
      <c r="G408" s="1331"/>
      <c r="H408" s="1331"/>
      <c r="I408" s="1331"/>
      <c r="J408" s="1331"/>
      <c r="K408" s="1331"/>
      <c r="L408" s="1331"/>
      <c r="M408" s="1331"/>
      <c r="N408" s="1331"/>
      <c r="O408" s="1331"/>
      <c r="P408" s="1331"/>
      <c r="Q408" s="1331"/>
      <c r="R408" s="1331"/>
      <c r="S408" s="1331"/>
      <c r="T408" s="1331"/>
      <c r="U408" s="1331"/>
      <c r="V408" s="1331"/>
      <c r="W408" s="1331"/>
      <c r="X408" s="1331"/>
      <c r="Y408" s="1331"/>
      <c r="Z408" s="1331"/>
      <c r="AA408" s="1331"/>
      <c r="AB408" s="1331"/>
      <c r="AC408" s="819"/>
      <c r="AE408" s="819"/>
      <c r="AF408" s="819"/>
      <c r="AG408" s="819"/>
      <c r="AH408" s="819"/>
      <c r="AI408" s="819"/>
      <c r="AJ408" s="819"/>
      <c r="AK408" s="819"/>
      <c r="AL408" s="819"/>
      <c r="AM408" s="819"/>
      <c r="AN408" s="819"/>
      <c r="AO408" s="819"/>
      <c r="AP408" s="819"/>
      <c r="AQ408" s="819"/>
      <c r="AR408" s="819"/>
      <c r="AS408" s="819"/>
      <c r="AT408" s="819"/>
      <c r="AU408" s="819"/>
      <c r="AV408" s="819"/>
      <c r="AW408" s="819"/>
      <c r="AX408" s="819"/>
      <c r="AY408" s="819"/>
      <c r="AZ408" s="819"/>
      <c r="BA408" s="819"/>
    </row>
    <row r="409" spans="1:54" ht="14.1" customHeight="1" thickTop="1">
      <c r="B409" s="819"/>
      <c r="C409" s="819"/>
      <c r="D409" s="1338"/>
      <c r="E409" s="1338"/>
      <c r="F409" s="1338"/>
      <c r="G409" s="1338"/>
      <c r="H409" s="1338"/>
      <c r="I409" s="1338"/>
      <c r="J409" s="1338"/>
      <c r="K409" s="1338"/>
      <c r="L409" s="1338"/>
      <c r="M409" s="1338"/>
      <c r="N409" s="1338"/>
      <c r="O409" s="1338"/>
      <c r="P409" s="1338"/>
      <c r="Q409" s="1338"/>
      <c r="R409" s="1338"/>
      <c r="S409" s="1338"/>
      <c r="T409" s="1338"/>
      <c r="U409" s="1338"/>
      <c r="V409" s="1338"/>
      <c r="W409" s="1338"/>
      <c r="X409" s="1338"/>
      <c r="Y409" s="1338"/>
      <c r="Z409" s="1338"/>
      <c r="AA409" s="1338"/>
      <c r="AB409" s="1338"/>
      <c r="AC409" s="819"/>
      <c r="AE409" s="819"/>
      <c r="AF409" s="819"/>
      <c r="AG409" s="819"/>
      <c r="AH409" s="819"/>
      <c r="AI409" s="819"/>
      <c r="AJ409" s="819"/>
      <c r="AK409" s="819"/>
      <c r="AL409" s="819"/>
      <c r="AM409" s="819"/>
      <c r="AN409" s="819"/>
      <c r="AO409" s="819"/>
      <c r="AP409" s="819"/>
      <c r="AQ409" s="819"/>
      <c r="AR409" s="819"/>
      <c r="AS409" s="819"/>
      <c r="AT409" s="819"/>
      <c r="AU409" s="819"/>
      <c r="AV409" s="819"/>
      <c r="AW409" s="819"/>
      <c r="AX409" s="819"/>
      <c r="AY409" s="819"/>
      <c r="AZ409" s="819"/>
      <c r="BA409" s="819"/>
    </row>
    <row r="410" spans="1:54" ht="14.1" customHeight="1">
      <c r="B410" s="819"/>
      <c r="C410" s="819"/>
      <c r="D410" s="1338"/>
      <c r="E410" s="1338"/>
      <c r="F410" s="1338"/>
      <c r="G410" s="1338"/>
      <c r="H410" s="1338"/>
      <c r="I410" s="1338"/>
      <c r="J410" s="1338"/>
      <c r="K410" s="1338"/>
      <c r="L410" s="1338"/>
      <c r="M410" s="1338"/>
      <c r="N410" s="1338"/>
      <c r="O410" s="1338"/>
      <c r="P410" s="1338"/>
      <c r="Q410" s="1338"/>
      <c r="R410" s="1338"/>
      <c r="S410" s="1338"/>
      <c r="T410" s="1338"/>
      <c r="U410" s="1338"/>
      <c r="V410" s="1338"/>
      <c r="W410" s="1338"/>
      <c r="X410" s="1338"/>
      <c r="Y410" s="1338"/>
      <c r="Z410" s="1338"/>
      <c r="AA410" s="1338"/>
      <c r="AB410" s="1338"/>
      <c r="AC410" s="819"/>
      <c r="AE410" s="819"/>
      <c r="AF410" s="819"/>
      <c r="AG410" s="819"/>
      <c r="AH410" s="819"/>
      <c r="AI410" s="819"/>
      <c r="AJ410" s="819"/>
      <c r="AK410" s="819"/>
      <c r="AL410" s="819"/>
      <c r="AM410" s="819"/>
      <c r="AN410" s="819"/>
      <c r="AO410" s="819"/>
      <c r="AP410" s="819"/>
      <c r="AQ410" s="819"/>
      <c r="AR410" s="819"/>
      <c r="AS410" s="819"/>
      <c r="AT410" s="819"/>
      <c r="AU410" s="819"/>
      <c r="AV410" s="819"/>
      <c r="AW410" s="819"/>
      <c r="AX410" s="819"/>
      <c r="AY410" s="819"/>
      <c r="AZ410" s="819"/>
      <c r="BA410" s="819"/>
    </row>
    <row r="411" spans="1:54" ht="14.1" customHeight="1" thickBot="1">
      <c r="B411" s="819"/>
      <c r="C411" s="548"/>
      <c r="D411" s="1338"/>
      <c r="E411" s="1338"/>
      <c r="F411" s="1338"/>
      <c r="G411" s="1338"/>
      <c r="H411" s="1338"/>
      <c r="I411" s="1338"/>
      <c r="J411" s="1338"/>
      <c r="K411" s="1338"/>
      <c r="L411" s="1338"/>
      <c r="M411" s="1338"/>
      <c r="N411" s="1338"/>
      <c r="O411" s="1338"/>
      <c r="P411" s="1338"/>
      <c r="Q411" s="1338"/>
      <c r="R411" s="552"/>
      <c r="S411" s="1338"/>
      <c r="T411" s="1338"/>
      <c r="U411" s="1338"/>
      <c r="V411" s="1338"/>
      <c r="W411" s="1338"/>
      <c r="X411" s="1338"/>
      <c r="Y411" s="1338"/>
      <c r="Z411" s="1338"/>
      <c r="AA411" s="1338"/>
      <c r="AB411" s="1338"/>
      <c r="AC411" s="819"/>
      <c r="AE411" s="819"/>
      <c r="AF411" s="819"/>
      <c r="AG411" s="819"/>
      <c r="AH411" s="819"/>
      <c r="AI411" s="819"/>
      <c r="AJ411" s="819"/>
      <c r="AK411" s="819"/>
      <c r="AL411" s="819"/>
      <c r="AM411" s="819"/>
      <c r="AN411" s="819"/>
      <c r="AO411" s="819"/>
      <c r="AP411" s="819"/>
      <c r="AQ411" s="819"/>
      <c r="AR411" s="819"/>
      <c r="AS411" s="819"/>
      <c r="AT411" s="819"/>
      <c r="AU411" s="819"/>
      <c r="AV411" s="819"/>
      <c r="AW411" s="819"/>
      <c r="AX411" s="819"/>
      <c r="AY411" s="819"/>
      <c r="AZ411" s="819"/>
      <c r="BA411" s="819"/>
    </row>
    <row r="412" spans="1:54" ht="14.1" customHeight="1" thickTop="1" thickBot="1">
      <c r="B412" s="819"/>
      <c r="C412" s="552"/>
      <c r="D412" s="1408"/>
      <c r="E412" s="2009" t="s">
        <v>1483</v>
      </c>
      <c r="F412" s="1408"/>
      <c r="G412" s="1332"/>
      <c r="H412" s="1332"/>
      <c r="I412" s="1408"/>
      <c r="J412" s="2009" t="s">
        <v>1512</v>
      </c>
      <c r="K412" s="1408"/>
      <c r="L412" s="1332"/>
      <c r="M412" s="1408"/>
      <c r="N412" s="1332"/>
      <c r="O412" s="2009" t="s">
        <v>512</v>
      </c>
      <c r="P412" s="573"/>
      <c r="Q412" s="568"/>
      <c r="R412" s="1338"/>
      <c r="S412" s="1338"/>
      <c r="T412" s="1338"/>
      <c r="U412" s="1338"/>
      <c r="V412" s="1338"/>
      <c r="W412" s="1338"/>
      <c r="X412" s="1338"/>
      <c r="Y412" s="1338"/>
      <c r="Z412" s="1338"/>
      <c r="AA412" s="1338"/>
      <c r="AB412" s="1338"/>
      <c r="AC412" s="819"/>
      <c r="AE412" s="819"/>
      <c r="AF412" s="819"/>
      <c r="AG412" s="819"/>
      <c r="AH412" s="819"/>
      <c r="AI412" s="819"/>
      <c r="AJ412" s="819"/>
      <c r="AK412" s="819"/>
      <c r="AL412" s="819"/>
      <c r="AM412" s="819"/>
      <c r="AN412" s="819"/>
      <c r="AO412" s="819"/>
      <c r="AP412" s="819"/>
      <c r="AQ412" s="819"/>
      <c r="AR412" s="819"/>
      <c r="AS412" s="819"/>
      <c r="AT412" s="819"/>
      <c r="AU412" s="819"/>
      <c r="AV412" s="819"/>
      <c r="AW412" s="819"/>
      <c r="AX412" s="819"/>
      <c r="AY412" s="819"/>
      <c r="AZ412" s="819"/>
      <c r="BA412" s="819"/>
    </row>
    <row r="413" spans="1:54" ht="14.1" customHeight="1" thickTop="1" thickBot="1">
      <c r="B413" s="819"/>
      <c r="C413" s="558"/>
      <c r="D413" s="559"/>
      <c r="E413" s="2010"/>
      <c r="G413" s="554"/>
      <c r="J413" s="2010"/>
      <c r="L413" s="554"/>
      <c r="M413" s="1403"/>
      <c r="O413" s="2010"/>
      <c r="P413" s="574"/>
      <c r="Q413" s="553"/>
      <c r="R413" s="1338"/>
      <c r="S413" s="1338"/>
      <c r="T413" s="1338"/>
      <c r="U413" s="1338"/>
      <c r="V413" s="1338"/>
      <c r="W413" s="1338"/>
      <c r="X413" s="1338"/>
      <c r="Y413" s="1338"/>
      <c r="Z413" s="1338"/>
      <c r="AA413" s="1338"/>
      <c r="AB413" s="1338"/>
      <c r="AC413" s="819"/>
      <c r="AE413" s="819"/>
      <c r="AF413" s="819"/>
      <c r="AG413" s="819"/>
      <c r="AH413" s="819"/>
      <c r="AI413" s="819"/>
      <c r="AJ413" s="819"/>
      <c r="AK413" s="819"/>
      <c r="AL413" s="819"/>
      <c r="AM413" s="819"/>
      <c r="AN413" s="819"/>
      <c r="AO413" s="819"/>
      <c r="AP413" s="819"/>
      <c r="AQ413" s="819"/>
      <c r="AR413" s="819"/>
      <c r="AS413" s="819"/>
      <c r="AT413" s="819"/>
      <c r="AU413" s="819"/>
      <c r="AV413" s="819"/>
      <c r="AW413" s="819"/>
      <c r="AX413" s="819"/>
      <c r="AY413" s="819"/>
      <c r="AZ413" s="819"/>
      <c r="BA413" s="819"/>
    </row>
    <row r="414" spans="1:54" ht="14.1" customHeight="1" thickTop="1">
      <c r="B414" s="819"/>
      <c r="C414" s="548"/>
      <c r="D414" s="1338"/>
      <c r="E414" s="1338"/>
      <c r="F414" s="1338"/>
      <c r="G414" s="554"/>
      <c r="H414" s="1338"/>
      <c r="I414" s="1338"/>
      <c r="J414" s="1338"/>
      <c r="K414" s="1338"/>
      <c r="L414" s="554"/>
      <c r="M414" s="1338"/>
      <c r="N414" s="1338"/>
      <c r="O414" s="1338"/>
      <c r="P414" s="1338"/>
      <c r="R414" s="552"/>
      <c r="S414" s="1338"/>
      <c r="T414" s="1338"/>
      <c r="U414" s="1338"/>
      <c r="V414" s="1338"/>
      <c r="W414" s="1338"/>
      <c r="X414" s="1338"/>
      <c r="Y414" s="1338"/>
      <c r="Z414" s="1338"/>
      <c r="AA414" s="1338"/>
      <c r="AB414" s="1338"/>
      <c r="AC414" s="819"/>
      <c r="AE414" s="819"/>
      <c r="AF414" s="819"/>
      <c r="AG414" s="819"/>
      <c r="AH414" s="819"/>
      <c r="AI414" s="819"/>
      <c r="AJ414" s="819"/>
      <c r="AK414" s="819"/>
      <c r="AL414" s="819"/>
      <c r="AM414" s="819"/>
      <c r="AN414" s="819"/>
      <c r="AO414" s="819"/>
      <c r="AP414" s="819"/>
      <c r="AQ414" s="819"/>
      <c r="AR414" s="819"/>
      <c r="AS414" s="819"/>
      <c r="AT414" s="819"/>
      <c r="AU414" s="819"/>
      <c r="AV414" s="819"/>
      <c r="AW414" s="819"/>
      <c r="AX414" s="819"/>
      <c r="AY414" s="819"/>
      <c r="AZ414" s="819"/>
      <c r="BA414" s="819"/>
    </row>
    <row r="415" spans="1:54" ht="14.1" customHeight="1">
      <c r="B415" s="819"/>
      <c r="C415" s="552"/>
      <c r="D415" s="1338"/>
      <c r="E415" s="1338"/>
      <c r="F415" s="1338"/>
      <c r="G415" s="554"/>
      <c r="H415" s="1338"/>
      <c r="I415" s="1338"/>
      <c r="J415" s="1338"/>
      <c r="K415" s="1338"/>
      <c r="L415" s="554"/>
      <c r="M415" s="1338"/>
      <c r="N415" s="1338"/>
      <c r="O415" s="1338"/>
      <c r="P415" s="1338"/>
      <c r="R415" s="552"/>
      <c r="S415" s="1338"/>
      <c r="T415" s="1338"/>
      <c r="U415" s="1338"/>
      <c r="V415" s="1338"/>
      <c r="W415" s="1338"/>
      <c r="X415" s="1338"/>
      <c r="Y415" s="1338"/>
      <c r="Z415" s="1338"/>
      <c r="AA415" s="1338"/>
      <c r="AB415" s="1338"/>
      <c r="AC415" s="819"/>
      <c r="AE415" s="819"/>
      <c r="AF415" s="819"/>
      <c r="AG415" s="819"/>
      <c r="AH415" s="819"/>
      <c r="AI415" s="819"/>
      <c r="AJ415" s="819"/>
      <c r="AK415" s="819"/>
      <c r="AL415" s="819"/>
      <c r="AM415" s="819"/>
      <c r="AN415" s="819"/>
      <c r="AO415" s="819"/>
      <c r="AP415" s="819"/>
      <c r="AQ415" s="819"/>
      <c r="AR415" s="819"/>
      <c r="AS415" s="819"/>
      <c r="AT415" s="819"/>
      <c r="AU415" s="819"/>
      <c r="AV415" s="819"/>
      <c r="AW415" s="819"/>
      <c r="AX415" s="819"/>
      <c r="AY415" s="819"/>
      <c r="AZ415" s="819"/>
      <c r="BA415" s="819"/>
    </row>
    <row r="416" spans="1:54" ht="14.1" customHeight="1">
      <c r="C416" s="552"/>
      <c r="G416" s="2012" t="s">
        <v>1513</v>
      </c>
      <c r="H416" s="2012"/>
      <c r="L416" s="2012" t="s">
        <v>1484</v>
      </c>
      <c r="M416" s="2012"/>
      <c r="R416" s="552"/>
      <c r="AC416" s="819"/>
      <c r="AE416" s="819"/>
      <c r="AF416" s="819"/>
      <c r="AG416" s="819"/>
      <c r="AH416" s="819"/>
      <c r="AI416" s="819"/>
      <c r="AJ416" s="819"/>
      <c r="AK416" s="819"/>
      <c r="AL416" s="819"/>
      <c r="AM416" s="819"/>
      <c r="AN416" s="819"/>
      <c r="AO416" s="819"/>
      <c r="AP416" s="819"/>
      <c r="AQ416" s="819"/>
      <c r="AR416" s="819"/>
      <c r="AS416" s="819"/>
      <c r="AT416" s="819"/>
      <c r="AU416" s="819"/>
      <c r="AV416" s="819"/>
      <c r="AW416" s="819"/>
      <c r="AX416" s="819"/>
      <c r="AY416" s="819"/>
      <c r="AZ416" s="819"/>
      <c r="BB416" s="819"/>
    </row>
    <row r="417" spans="1:57" ht="13.8" thickBot="1">
      <c r="A417" s="1403"/>
      <c r="B417" s="1403"/>
      <c r="C417" s="548"/>
      <c r="D417" s="1403"/>
      <c r="E417" s="1403"/>
      <c r="R417" s="552"/>
      <c r="Z417" s="819"/>
      <c r="AA417" s="819"/>
      <c r="AB417" s="819"/>
    </row>
    <row r="418" spans="1:57" ht="14.1" customHeight="1" thickTop="1" thickBot="1">
      <c r="A418" s="1403"/>
      <c r="B418" s="1403"/>
      <c r="C418" s="549"/>
      <c r="D418" s="1408"/>
      <c r="E418" s="2009" t="s">
        <v>1478</v>
      </c>
      <c r="F418" s="1408"/>
      <c r="G418" s="1332"/>
      <c r="H418" s="1332"/>
      <c r="I418" s="1408"/>
      <c r="J418" s="2009" t="s">
        <v>1479</v>
      </c>
      <c r="K418" s="1408"/>
      <c r="L418" s="1332"/>
      <c r="M418" s="1408"/>
      <c r="N418" s="1332"/>
      <c r="O418" s="2009" t="s">
        <v>1481</v>
      </c>
      <c r="P418" s="573"/>
      <c r="Q418" s="568"/>
      <c r="R418" s="1337"/>
      <c r="S418" s="819"/>
      <c r="T418" s="2008"/>
      <c r="U418" s="2008"/>
      <c r="V418" s="533"/>
      <c r="X418" s="819"/>
      <c r="Y418" s="819"/>
      <c r="Z418" s="819"/>
      <c r="AA418" s="819"/>
      <c r="AB418" s="819"/>
      <c r="AC418" s="819"/>
      <c r="AD418" s="609"/>
      <c r="AE418" s="819"/>
      <c r="AF418" s="819"/>
      <c r="AG418" s="819"/>
      <c r="AH418" s="819"/>
      <c r="AI418" s="819"/>
      <c r="AJ418" s="819"/>
      <c r="AK418" s="819"/>
      <c r="AL418" s="819"/>
      <c r="AM418" s="819"/>
      <c r="AN418" s="819"/>
      <c r="AO418" s="819"/>
      <c r="AP418" s="819"/>
      <c r="AQ418" s="819"/>
      <c r="AR418" s="819"/>
      <c r="AS418" s="819"/>
      <c r="AT418" s="819"/>
      <c r="AU418" s="819"/>
      <c r="AV418" s="819"/>
      <c r="AW418" s="819"/>
      <c r="AX418" s="819"/>
      <c r="AY418" s="819"/>
      <c r="AZ418" s="819"/>
      <c r="BA418" s="819"/>
      <c r="BB418" s="819"/>
      <c r="BC418" s="819"/>
      <c r="BD418" s="819"/>
    </row>
    <row r="419" spans="1:57" ht="12.75" customHeight="1" thickTop="1" thickBot="1">
      <c r="A419" s="1403"/>
      <c r="B419" s="1403"/>
      <c r="C419" s="558"/>
      <c r="D419" s="559"/>
      <c r="E419" s="2010"/>
      <c r="G419" s="554"/>
      <c r="J419" s="2010"/>
      <c r="L419" s="554"/>
      <c r="M419" s="1403"/>
      <c r="O419" s="2010"/>
      <c r="P419" s="574"/>
      <c r="Q419" s="553"/>
      <c r="R419" s="552"/>
      <c r="X419" s="819"/>
      <c r="Y419" s="819"/>
      <c r="Z419" s="819"/>
      <c r="AA419" s="819"/>
      <c r="AB419" s="819"/>
      <c r="AC419" s="819"/>
      <c r="AE419" s="819"/>
      <c r="AF419" s="819"/>
      <c r="AG419" s="819"/>
      <c r="AH419" s="819"/>
      <c r="AI419" s="819"/>
      <c r="AJ419" s="819"/>
      <c r="AK419" s="819"/>
      <c r="AL419" s="819"/>
      <c r="AM419" s="819"/>
      <c r="AN419" s="819"/>
      <c r="AO419" s="819"/>
      <c r="AP419" s="819"/>
      <c r="AQ419" s="819"/>
      <c r="AR419" s="819"/>
      <c r="AS419" s="819"/>
      <c r="AT419" s="819"/>
      <c r="AU419" s="819"/>
      <c r="AV419" s="819"/>
      <c r="AW419" s="819"/>
      <c r="AX419" s="819"/>
      <c r="AY419" s="819"/>
      <c r="AZ419" s="819"/>
      <c r="BA419" s="819"/>
      <c r="BB419" s="819"/>
      <c r="BD419" s="819"/>
      <c r="BE419" s="819"/>
    </row>
    <row r="420" spans="1:57" ht="12.75" customHeight="1" thickTop="1">
      <c r="A420" s="1403"/>
      <c r="B420" s="1403"/>
      <c r="C420" s="548"/>
      <c r="D420" s="1403"/>
      <c r="E420" s="1403"/>
      <c r="G420" s="554"/>
      <c r="L420" s="554"/>
      <c r="N420" s="819"/>
      <c r="Q420" s="1403"/>
      <c r="R420" s="548"/>
      <c r="Y420" s="819"/>
      <c r="Z420" s="819"/>
      <c r="AA420" s="819"/>
      <c r="AB420" s="819"/>
      <c r="AC420" s="819"/>
      <c r="AE420" s="819"/>
      <c r="AF420" s="819"/>
      <c r="AG420" s="819"/>
      <c r="AH420" s="819"/>
      <c r="AI420" s="819"/>
      <c r="AJ420" s="819"/>
      <c r="AK420" s="819"/>
      <c r="AL420" s="819"/>
      <c r="AM420" s="819"/>
      <c r="AN420" s="819"/>
      <c r="AO420" s="819"/>
      <c r="AP420" s="819"/>
      <c r="AQ420" s="819"/>
      <c r="AR420" s="819"/>
      <c r="AS420" s="819"/>
      <c r="AT420" s="819"/>
      <c r="AU420" s="819"/>
      <c r="AV420" s="819"/>
      <c r="AW420" s="819"/>
      <c r="AX420" s="819"/>
      <c r="AY420" s="819"/>
      <c r="AZ420" s="819"/>
      <c r="BA420" s="819"/>
      <c r="BB420" s="819"/>
      <c r="BD420" s="819"/>
      <c r="BE420" s="819"/>
    </row>
    <row r="421" spans="1:57" ht="14.1" customHeight="1">
      <c r="C421" s="552"/>
      <c r="G421" s="567"/>
      <c r="H421" s="533"/>
      <c r="L421" s="567"/>
      <c r="M421" s="533"/>
      <c r="N421" s="819"/>
      <c r="R421" s="552"/>
      <c r="AC421" s="819"/>
      <c r="AD421" s="609"/>
      <c r="AE421" s="819"/>
      <c r="AF421" s="819"/>
      <c r="AG421" s="819"/>
      <c r="AH421" s="819"/>
      <c r="AI421" s="819"/>
      <c r="AJ421" s="819"/>
      <c r="AK421" s="819"/>
      <c r="AL421" s="819"/>
      <c r="AM421" s="819"/>
      <c r="AN421" s="819"/>
      <c r="AO421" s="819"/>
      <c r="AP421" s="819"/>
      <c r="AQ421" s="819"/>
      <c r="AR421" s="819"/>
      <c r="AS421" s="819"/>
      <c r="AT421" s="819"/>
      <c r="AU421" s="819"/>
      <c r="AV421" s="819"/>
      <c r="AW421" s="819"/>
      <c r="AX421" s="819"/>
      <c r="AY421" s="819"/>
      <c r="AZ421" s="819"/>
      <c r="BA421" s="819"/>
      <c r="BB421" s="819"/>
      <c r="BC421" s="819"/>
      <c r="BD421" s="819"/>
    </row>
    <row r="422" spans="1:57">
      <c r="C422" s="552"/>
      <c r="G422" s="2012" t="s">
        <v>338</v>
      </c>
      <c r="H422" s="2012"/>
      <c r="L422" s="2012" t="s">
        <v>1480</v>
      </c>
      <c r="M422" s="2012"/>
      <c r="N422" s="819"/>
      <c r="R422" s="552"/>
    </row>
    <row r="423" spans="1:57" ht="13.8" thickBot="1">
      <c r="A423" s="1403"/>
      <c r="B423" s="1403"/>
      <c r="C423" s="548"/>
      <c r="D423" s="1403"/>
      <c r="E423" s="1403"/>
      <c r="R423" s="552"/>
      <c r="Z423" s="819"/>
      <c r="AA423" s="819"/>
      <c r="AB423" s="819"/>
    </row>
    <row r="424" spans="1:57" ht="14.1" customHeight="1" thickTop="1" thickBot="1">
      <c r="A424" s="1403"/>
      <c r="B424" s="1403"/>
      <c r="C424" s="549"/>
      <c r="D424" s="1408"/>
      <c r="E424" s="2007" t="s">
        <v>69</v>
      </c>
      <c r="F424" s="1408"/>
      <c r="G424" s="1332"/>
      <c r="H424" s="1332"/>
      <c r="I424" s="1408"/>
      <c r="J424" s="2005" t="s">
        <v>1473</v>
      </c>
      <c r="K424" s="1408"/>
      <c r="L424" s="1332"/>
      <c r="M424" s="1408"/>
      <c r="N424" s="1332"/>
      <c r="O424" s="2007" t="s">
        <v>1475</v>
      </c>
      <c r="P424" s="575"/>
      <c r="Q424" s="568"/>
      <c r="R424" s="1337"/>
      <c r="S424" s="819"/>
      <c r="T424" s="2008"/>
      <c r="U424" s="2008"/>
      <c r="V424" s="533"/>
      <c r="X424" s="819"/>
      <c r="Y424" s="819"/>
      <c r="Z424" s="819"/>
      <c r="AA424" s="819"/>
      <c r="AB424" s="819"/>
      <c r="AC424" s="819"/>
      <c r="AD424" s="609"/>
      <c r="AE424" s="819"/>
      <c r="AF424" s="819"/>
      <c r="AG424" s="819"/>
      <c r="AH424" s="819"/>
      <c r="AI424" s="819"/>
      <c r="AJ424" s="819"/>
      <c r="AK424" s="819"/>
      <c r="AL424" s="819"/>
      <c r="AM424" s="819"/>
      <c r="AN424" s="819"/>
      <c r="AO424" s="819"/>
      <c r="AP424" s="819"/>
      <c r="AQ424" s="819"/>
      <c r="AR424" s="819"/>
      <c r="AS424" s="819"/>
      <c r="AT424" s="819"/>
      <c r="AU424" s="819"/>
      <c r="AV424" s="819"/>
      <c r="AW424" s="819"/>
      <c r="AX424" s="819"/>
      <c r="AY424" s="819"/>
      <c r="AZ424" s="819"/>
      <c r="BA424" s="819"/>
      <c r="BB424" s="819"/>
      <c r="BC424" s="819"/>
      <c r="BD424" s="819"/>
    </row>
    <row r="425" spans="1:57" ht="12.75" customHeight="1" thickTop="1" thickBot="1">
      <c r="A425" s="1403"/>
      <c r="B425" s="1403"/>
      <c r="C425" s="558"/>
      <c r="D425" s="559"/>
      <c r="E425" s="2007"/>
      <c r="G425" s="554"/>
      <c r="J425" s="2006"/>
      <c r="L425" s="554"/>
      <c r="M425" s="1403"/>
      <c r="O425" s="2007"/>
      <c r="P425" s="576"/>
      <c r="Q425" s="553"/>
      <c r="R425" s="552"/>
      <c r="X425" s="819"/>
      <c r="Y425" s="819"/>
      <c r="Z425" s="819"/>
      <c r="AA425" s="819"/>
      <c r="AB425" s="819"/>
      <c r="AC425" s="819"/>
      <c r="AE425" s="819"/>
      <c r="AF425" s="819"/>
      <c r="AG425" s="819"/>
      <c r="AH425" s="819"/>
      <c r="AI425" s="819"/>
      <c r="AJ425" s="819"/>
      <c r="AK425" s="819"/>
      <c r="AL425" s="819"/>
      <c r="AM425" s="819"/>
      <c r="AN425" s="819"/>
      <c r="AO425" s="819"/>
      <c r="AP425" s="819"/>
      <c r="AQ425" s="819"/>
      <c r="AR425" s="819"/>
      <c r="AS425" s="819"/>
      <c r="AT425" s="819"/>
      <c r="AU425" s="819"/>
      <c r="AV425" s="819"/>
      <c r="AW425" s="819"/>
      <c r="AX425" s="819"/>
      <c r="AY425" s="819"/>
      <c r="AZ425" s="819"/>
      <c r="BA425" s="819"/>
      <c r="BB425" s="819"/>
      <c r="BD425" s="819"/>
      <c r="BE425" s="819"/>
    </row>
    <row r="426" spans="1:57" ht="12.75" customHeight="1">
      <c r="A426" s="1403"/>
      <c r="B426" s="1403"/>
      <c r="C426" s="548"/>
      <c r="D426" s="1403"/>
      <c r="E426" s="1403"/>
      <c r="G426" s="554"/>
      <c r="L426" s="554"/>
      <c r="N426" s="819"/>
      <c r="Q426" s="1403"/>
      <c r="R426" s="548"/>
      <c r="Y426" s="819"/>
      <c r="Z426" s="819"/>
      <c r="AA426" s="819"/>
      <c r="AB426" s="819"/>
      <c r="AC426" s="819"/>
      <c r="AE426" s="819"/>
      <c r="AF426" s="819"/>
      <c r="AG426" s="819"/>
      <c r="AH426" s="819"/>
      <c r="AI426" s="819"/>
      <c r="AJ426" s="819"/>
      <c r="AK426" s="819"/>
      <c r="AL426" s="819"/>
      <c r="AM426" s="819"/>
      <c r="AN426" s="819"/>
      <c r="AO426" s="819"/>
      <c r="AP426" s="819"/>
      <c r="AQ426" s="819"/>
      <c r="AR426" s="819"/>
      <c r="AS426" s="819"/>
      <c r="AT426" s="819"/>
      <c r="AU426" s="819"/>
      <c r="AV426" s="819"/>
      <c r="AW426" s="819"/>
      <c r="AX426" s="819"/>
      <c r="AY426" s="819"/>
      <c r="AZ426" s="819"/>
      <c r="BA426" s="819"/>
      <c r="BB426" s="819"/>
      <c r="BD426" s="819"/>
      <c r="BE426" s="819"/>
    </row>
    <row r="427" spans="1:57" ht="14.1" customHeight="1">
      <c r="B427" s="2011"/>
      <c r="C427" s="2011"/>
      <c r="G427" s="567"/>
      <c r="H427" s="533"/>
      <c r="L427" s="567"/>
      <c r="M427" s="533"/>
      <c r="N427" s="819"/>
      <c r="AC427" s="819"/>
      <c r="AD427" s="609"/>
      <c r="AE427" s="819"/>
      <c r="AF427" s="819"/>
      <c r="AG427" s="819"/>
      <c r="AH427" s="819"/>
      <c r="AI427" s="819"/>
      <c r="AJ427" s="819"/>
      <c r="AK427" s="819"/>
      <c r="AL427" s="819"/>
      <c r="AM427" s="819"/>
      <c r="AN427" s="819"/>
      <c r="AO427" s="819"/>
      <c r="AP427" s="819"/>
      <c r="AQ427" s="819"/>
      <c r="AR427" s="819"/>
      <c r="AS427" s="819"/>
      <c r="AT427" s="819"/>
      <c r="AU427" s="819"/>
      <c r="AV427" s="819"/>
      <c r="AW427" s="819"/>
      <c r="AX427" s="819"/>
      <c r="AY427" s="819"/>
      <c r="AZ427" s="819"/>
      <c r="BA427" s="819"/>
      <c r="BB427" s="819"/>
      <c r="BC427" s="819"/>
      <c r="BD427" s="819"/>
    </row>
    <row r="428" spans="1:57" ht="12.75" customHeight="1">
      <c r="B428" s="2011"/>
      <c r="C428" s="2011"/>
      <c r="G428" s="2011" t="s">
        <v>349</v>
      </c>
      <c r="H428" s="2011"/>
      <c r="L428" s="2012" t="s">
        <v>1520</v>
      </c>
      <c r="M428" s="2012"/>
      <c r="N428" s="819"/>
    </row>
    <row r="429" spans="1:57" ht="12.75" customHeight="1">
      <c r="G429" s="2011"/>
      <c r="H429" s="2011"/>
      <c r="L429" s="764"/>
      <c r="M429" s="764"/>
    </row>
    <row r="430" spans="1:57" ht="12.75" customHeight="1">
      <c r="G430" s="2012" t="s">
        <v>334</v>
      </c>
      <c r="H430" s="2012"/>
      <c r="M430" s="533"/>
    </row>
    <row r="431" spans="1:57" ht="14.1" customHeight="1">
      <c r="A431" s="819"/>
      <c r="B431" s="819"/>
      <c r="C431" s="819"/>
      <c r="D431" s="1406"/>
      <c r="E431" s="1406"/>
      <c r="F431" s="1406"/>
      <c r="G431" s="1406"/>
      <c r="H431" s="1406"/>
      <c r="I431" s="1406"/>
      <c r="J431" s="1406"/>
      <c r="K431" s="1406"/>
      <c r="L431" s="1406"/>
      <c r="M431" s="1406"/>
      <c r="N431" s="1406"/>
      <c r="O431" s="1406"/>
      <c r="P431" s="1406"/>
      <c r="Q431" s="1406"/>
      <c r="R431" s="1406"/>
      <c r="S431" s="1406"/>
      <c r="T431" s="1406"/>
      <c r="U431" s="1406"/>
      <c r="V431" s="1406"/>
      <c r="W431" s="1406"/>
      <c r="X431" s="1406"/>
      <c r="Y431" s="1406"/>
      <c r="Z431" s="1406"/>
      <c r="AA431" s="1406"/>
      <c r="AB431" s="1406"/>
      <c r="AC431" s="819"/>
      <c r="AE431" s="819"/>
      <c r="AF431" s="819"/>
      <c r="AG431" s="819"/>
      <c r="AH431" s="819"/>
      <c r="AI431" s="819"/>
      <c r="AJ431" s="819"/>
      <c r="AK431" s="819"/>
      <c r="AL431" s="819"/>
      <c r="AM431" s="819"/>
      <c r="AN431" s="819"/>
      <c r="AO431" s="819"/>
      <c r="AP431" s="819"/>
      <c r="AQ431" s="819"/>
      <c r="AR431" s="819"/>
      <c r="AS431" s="819"/>
      <c r="AT431" s="819"/>
      <c r="AU431" s="819"/>
      <c r="AV431" s="819"/>
      <c r="AW431" s="819"/>
      <c r="AX431" s="819"/>
      <c r="AY431" s="819"/>
      <c r="AZ431" s="819"/>
      <c r="BA431" s="819"/>
      <c r="BC431" s="819"/>
      <c r="BD431" s="819"/>
      <c r="BE431" s="819"/>
    </row>
    <row r="432" spans="1:57" ht="14.1" customHeight="1">
      <c r="A432" s="819"/>
      <c r="B432" s="819"/>
      <c r="C432" s="819"/>
      <c r="D432" s="1406"/>
      <c r="E432" s="1406"/>
      <c r="F432" s="1406"/>
      <c r="G432" s="1406"/>
      <c r="H432" s="1406"/>
      <c r="I432" s="1406"/>
      <c r="J432" s="1406"/>
      <c r="K432" s="1406"/>
      <c r="L432" s="1406"/>
      <c r="M432" s="1406"/>
      <c r="N432" s="1406"/>
      <c r="O432" s="1406"/>
      <c r="P432" s="1406"/>
      <c r="Q432" s="1406"/>
      <c r="R432" s="1406"/>
      <c r="S432" s="1406"/>
      <c r="T432" s="1406"/>
      <c r="U432" s="1406"/>
      <c r="V432" s="1406"/>
      <c r="W432" s="1406"/>
      <c r="X432" s="1406"/>
      <c r="Y432" s="1406"/>
      <c r="Z432" s="1406"/>
      <c r="AA432" s="1406"/>
      <c r="AB432" s="1406"/>
      <c r="AC432" s="819"/>
      <c r="AE432" s="819"/>
      <c r="AF432" s="819"/>
      <c r="AG432" s="819"/>
      <c r="AH432" s="819"/>
      <c r="AI432" s="819"/>
      <c r="AJ432" s="819"/>
      <c r="AK432" s="819"/>
      <c r="AL432" s="819"/>
      <c r="AM432" s="819"/>
      <c r="AN432" s="819"/>
      <c r="AO432" s="819"/>
      <c r="AP432" s="819"/>
      <c r="AQ432" s="819"/>
      <c r="AR432" s="819"/>
      <c r="AS432" s="819"/>
      <c r="AT432" s="819"/>
      <c r="AU432" s="819"/>
      <c r="AV432" s="819"/>
      <c r="AW432" s="819"/>
      <c r="AX432" s="819"/>
      <c r="AY432" s="819"/>
      <c r="AZ432" s="819"/>
      <c r="BA432" s="819"/>
      <c r="BC432" s="819"/>
      <c r="BD432" s="819"/>
      <c r="BE432" s="819"/>
    </row>
    <row r="433" spans="1:54" ht="14.1" customHeight="1">
      <c r="A433" s="819"/>
      <c r="B433" s="819"/>
      <c r="C433" s="819"/>
      <c r="D433" s="1406"/>
      <c r="E433" s="1406"/>
      <c r="F433" s="1406"/>
      <c r="G433" s="1406"/>
      <c r="H433" s="1406"/>
      <c r="I433" s="1406"/>
      <c r="J433" s="1406"/>
      <c r="K433" s="1406"/>
      <c r="L433" s="1406"/>
      <c r="M433" s="1406"/>
      <c r="N433" s="1406"/>
      <c r="O433" s="1406"/>
      <c r="P433" s="1406"/>
      <c r="Q433" s="1406"/>
      <c r="R433" s="1406"/>
      <c r="S433" s="1406"/>
      <c r="T433" s="1406"/>
      <c r="U433" s="1406"/>
      <c r="V433" s="1406"/>
      <c r="W433" s="1406"/>
      <c r="X433" s="1406"/>
      <c r="Y433" s="1406"/>
      <c r="Z433" s="1406"/>
      <c r="AA433" s="1406"/>
      <c r="AB433" s="1406"/>
      <c r="AC433" s="819"/>
      <c r="AE433" s="819"/>
      <c r="AF433" s="819"/>
      <c r="AG433" s="819"/>
      <c r="AH433" s="819"/>
      <c r="AI433" s="819"/>
      <c r="AJ433" s="819"/>
      <c r="AK433" s="819"/>
      <c r="AL433" s="819"/>
      <c r="AM433" s="819"/>
      <c r="AN433" s="819"/>
      <c r="AO433" s="819"/>
      <c r="AP433" s="819"/>
      <c r="AQ433" s="819"/>
      <c r="AR433" s="819"/>
      <c r="AS433" s="819"/>
      <c r="AT433" s="819"/>
      <c r="AU433" s="819"/>
      <c r="AV433" s="819"/>
      <c r="AW433" s="819"/>
      <c r="AX433" s="819"/>
      <c r="AY433" s="819"/>
      <c r="AZ433" s="819"/>
      <c r="BA433" s="819"/>
    </row>
    <row r="434" spans="1:54" ht="14.1" customHeight="1">
      <c r="A434" s="1403"/>
      <c r="B434" s="1403"/>
      <c r="C434" s="2008" t="s">
        <v>1485</v>
      </c>
      <c r="D434" s="2008"/>
      <c r="U434" s="819"/>
      <c r="V434" s="819"/>
      <c r="W434" s="819"/>
      <c r="X434" s="819"/>
      <c r="Y434" s="819"/>
      <c r="Z434" s="819"/>
      <c r="AA434" s="819"/>
      <c r="AB434" s="819"/>
      <c r="AC434" s="819"/>
      <c r="AE434" s="819"/>
      <c r="AF434" s="819"/>
      <c r="AG434" s="819"/>
      <c r="AH434" s="819"/>
      <c r="AI434" s="819"/>
      <c r="AJ434" s="819"/>
      <c r="AK434" s="819"/>
      <c r="AL434" s="819"/>
      <c r="AM434" s="819"/>
      <c r="AN434" s="819"/>
      <c r="AO434" s="819"/>
      <c r="AP434" s="819"/>
      <c r="AQ434" s="819"/>
      <c r="AR434" s="819"/>
      <c r="AS434" s="819"/>
      <c r="AT434" s="819"/>
      <c r="AU434" s="819"/>
      <c r="AV434" s="819"/>
      <c r="AW434" s="819"/>
      <c r="AX434" s="819"/>
      <c r="AY434" s="819"/>
      <c r="AZ434" s="819"/>
      <c r="BA434" s="819"/>
    </row>
    <row r="435" spans="1:54" ht="14.1" customHeight="1">
      <c r="A435" s="819"/>
      <c r="B435" s="819"/>
      <c r="C435" s="819"/>
      <c r="D435" s="2093" t="s">
        <v>1522</v>
      </c>
      <c r="E435" s="2093"/>
      <c r="F435" s="2093"/>
      <c r="G435" s="2093"/>
      <c r="H435" s="2093"/>
      <c r="I435" s="2093"/>
      <c r="J435" s="2093"/>
      <c r="K435" s="2093"/>
      <c r="L435" s="2093"/>
      <c r="M435" s="2093"/>
      <c r="N435" s="2093"/>
      <c r="O435" s="2093"/>
      <c r="P435" s="2093"/>
      <c r="Q435" s="2093"/>
      <c r="R435" s="2093"/>
      <c r="S435" s="2093"/>
      <c r="T435" s="2093"/>
      <c r="U435" s="2093"/>
      <c r="V435" s="2093"/>
      <c r="W435" s="2093"/>
      <c r="X435" s="2093"/>
      <c r="Y435" s="2093"/>
      <c r="Z435" s="2093"/>
      <c r="AA435" s="2093"/>
      <c r="AB435" s="2093"/>
      <c r="AC435" s="819"/>
      <c r="AE435" s="819"/>
      <c r="AF435" s="819"/>
      <c r="AG435" s="819"/>
      <c r="AH435" s="819"/>
      <c r="AI435" s="819"/>
      <c r="AJ435" s="819"/>
      <c r="AK435" s="819"/>
      <c r="AL435" s="819"/>
      <c r="AM435" s="819"/>
      <c r="AN435" s="819"/>
      <c r="AO435" s="819"/>
      <c r="AP435" s="819"/>
      <c r="AQ435" s="819"/>
      <c r="AR435" s="819"/>
      <c r="AS435" s="819"/>
      <c r="AT435" s="819"/>
      <c r="AU435" s="819"/>
      <c r="AV435" s="819"/>
      <c r="AW435" s="819"/>
      <c r="AX435" s="819"/>
      <c r="AY435" s="819"/>
      <c r="AZ435" s="819"/>
      <c r="BB435" s="819"/>
    </row>
    <row r="436" spans="1:54" ht="14.1" customHeight="1">
      <c r="A436" s="819"/>
      <c r="B436" s="819"/>
      <c r="C436" s="819"/>
      <c r="D436" s="2093"/>
      <c r="E436" s="2093"/>
      <c r="F436" s="2093"/>
      <c r="G436" s="2093"/>
      <c r="H436" s="2093"/>
      <c r="I436" s="2093"/>
      <c r="J436" s="2093"/>
      <c r="K436" s="2093"/>
      <c r="L436" s="2093"/>
      <c r="M436" s="2093"/>
      <c r="N436" s="2093"/>
      <c r="O436" s="2093"/>
      <c r="P436" s="2093"/>
      <c r="Q436" s="2093"/>
      <c r="R436" s="2093"/>
      <c r="S436" s="2093"/>
      <c r="T436" s="2093"/>
      <c r="U436" s="2093"/>
      <c r="V436" s="2093"/>
      <c r="W436" s="2093"/>
      <c r="X436" s="2093"/>
      <c r="Y436" s="2093"/>
      <c r="Z436" s="2093"/>
      <c r="AA436" s="2093"/>
      <c r="AB436" s="2093"/>
      <c r="AC436" s="819"/>
      <c r="AE436" s="819"/>
      <c r="AF436" s="819"/>
      <c r="AG436" s="819"/>
      <c r="AH436" s="819"/>
      <c r="AI436" s="819"/>
      <c r="AJ436" s="819"/>
      <c r="AK436" s="819"/>
      <c r="AL436" s="819"/>
      <c r="AM436" s="819"/>
      <c r="AN436" s="819"/>
      <c r="AO436" s="819"/>
      <c r="AP436" s="819"/>
      <c r="AQ436" s="819"/>
      <c r="AR436" s="819"/>
      <c r="AS436" s="819"/>
      <c r="AT436" s="819"/>
      <c r="AU436" s="819"/>
      <c r="AV436" s="819"/>
      <c r="AW436" s="819"/>
      <c r="AX436" s="819"/>
      <c r="AY436" s="819"/>
      <c r="AZ436" s="819"/>
      <c r="BA436" s="819"/>
    </row>
    <row r="437" spans="1:54" ht="14.1" customHeight="1">
      <c r="A437" s="819"/>
      <c r="B437" s="819"/>
      <c r="C437" s="819"/>
      <c r="D437" s="2093"/>
      <c r="E437" s="2093"/>
      <c r="F437" s="2093"/>
      <c r="G437" s="2093"/>
      <c r="H437" s="2093"/>
      <c r="I437" s="2093"/>
      <c r="J437" s="2093"/>
      <c r="K437" s="2093"/>
      <c r="L437" s="2093"/>
      <c r="M437" s="2093"/>
      <c r="N437" s="2093"/>
      <c r="O437" s="2093"/>
      <c r="P437" s="2093"/>
      <c r="Q437" s="2093"/>
      <c r="R437" s="2093"/>
      <c r="S437" s="2093"/>
      <c r="T437" s="2093"/>
      <c r="U437" s="2093"/>
      <c r="V437" s="2093"/>
      <c r="W437" s="2093"/>
      <c r="X437" s="2093"/>
      <c r="Y437" s="2093"/>
      <c r="Z437" s="2093"/>
      <c r="AA437" s="2093"/>
      <c r="AB437" s="2093"/>
      <c r="AC437" s="819"/>
      <c r="AE437" s="819"/>
      <c r="AF437" s="819"/>
      <c r="AG437" s="819"/>
      <c r="AH437" s="819"/>
      <c r="AI437" s="819"/>
      <c r="AJ437" s="819"/>
      <c r="AK437" s="819"/>
      <c r="AL437" s="819"/>
      <c r="AM437" s="819"/>
      <c r="AN437" s="819"/>
      <c r="AO437" s="819"/>
      <c r="AP437" s="819"/>
      <c r="AQ437" s="819"/>
      <c r="AR437" s="819"/>
      <c r="AS437" s="819"/>
      <c r="AT437" s="819"/>
      <c r="AU437" s="819"/>
      <c r="AV437" s="819"/>
      <c r="AW437" s="819"/>
      <c r="AX437" s="819"/>
      <c r="AY437" s="819"/>
      <c r="AZ437" s="819"/>
      <c r="BA437" s="819"/>
    </row>
    <row r="438" spans="1:54" ht="14.1" customHeight="1">
      <c r="A438" s="819"/>
      <c r="B438" s="819"/>
      <c r="C438" s="819"/>
      <c r="D438" s="2093"/>
      <c r="E438" s="2093"/>
      <c r="F438" s="2093"/>
      <c r="G438" s="2093"/>
      <c r="H438" s="2093"/>
      <c r="I438" s="2093"/>
      <c r="J438" s="2093"/>
      <c r="K438" s="2093"/>
      <c r="L438" s="2093"/>
      <c r="M438" s="2093"/>
      <c r="N438" s="2093"/>
      <c r="O438" s="2093"/>
      <c r="P438" s="2093"/>
      <c r="Q438" s="2093"/>
      <c r="R438" s="2093"/>
      <c r="S438" s="2093"/>
      <c r="T438" s="2093"/>
      <c r="U438" s="2093"/>
      <c r="V438" s="2093"/>
      <c r="W438" s="2093"/>
      <c r="X438" s="2093"/>
      <c r="Y438" s="2093"/>
      <c r="Z438" s="2093"/>
      <c r="AA438" s="2093"/>
      <c r="AB438" s="2093"/>
      <c r="AC438" s="819"/>
      <c r="AE438" s="819"/>
      <c r="AF438" s="819"/>
      <c r="AG438" s="819"/>
      <c r="AH438" s="819"/>
      <c r="AI438" s="819"/>
      <c r="AJ438" s="819"/>
      <c r="AK438" s="819"/>
      <c r="AL438" s="819"/>
      <c r="AM438" s="819"/>
      <c r="AN438" s="819"/>
      <c r="AO438" s="819"/>
      <c r="AP438" s="819"/>
      <c r="AQ438" s="819"/>
      <c r="AR438" s="819"/>
      <c r="AS438" s="819"/>
      <c r="AT438" s="819"/>
      <c r="AU438" s="819"/>
      <c r="AV438" s="819"/>
      <c r="AW438" s="819"/>
      <c r="AX438" s="819"/>
      <c r="AY438" s="819"/>
      <c r="AZ438" s="819"/>
      <c r="BA438" s="819"/>
    </row>
    <row r="439" spans="1:54" ht="14.1" customHeight="1" thickBot="1">
      <c r="B439" s="1323"/>
      <c r="C439" s="1323"/>
      <c r="D439" s="1331"/>
      <c r="E439" s="1331"/>
      <c r="F439" s="1331"/>
      <c r="G439" s="1331"/>
      <c r="H439" s="1331"/>
      <c r="I439" s="1331"/>
      <c r="J439" s="1331"/>
      <c r="K439" s="1331"/>
      <c r="L439" s="1331"/>
      <c r="M439" s="1331"/>
      <c r="N439" s="1331"/>
      <c r="O439" s="1331"/>
      <c r="P439" s="1331"/>
      <c r="Q439" s="1331"/>
      <c r="R439" s="1331"/>
      <c r="S439" s="1331"/>
      <c r="T439" s="1331"/>
      <c r="U439" s="1331"/>
      <c r="V439" s="1331"/>
      <c r="W439" s="1331"/>
      <c r="X439" s="1331"/>
      <c r="Y439" s="1331"/>
      <c r="Z439" s="1331"/>
      <c r="AA439" s="1331"/>
      <c r="AB439" s="1331"/>
      <c r="AC439" s="819"/>
      <c r="AE439" s="819"/>
      <c r="AF439" s="819"/>
      <c r="AG439" s="819"/>
      <c r="AH439" s="819"/>
      <c r="AI439" s="819"/>
      <c r="AJ439" s="819"/>
      <c r="AK439" s="819"/>
      <c r="AL439" s="819"/>
      <c r="AM439" s="819"/>
      <c r="AN439" s="819"/>
      <c r="AO439" s="819"/>
      <c r="AP439" s="819"/>
      <c r="AQ439" s="819"/>
      <c r="AR439" s="819"/>
      <c r="AS439" s="819"/>
      <c r="AT439" s="819"/>
      <c r="AU439" s="819"/>
      <c r="AV439" s="819"/>
      <c r="AW439" s="819"/>
      <c r="AX439" s="819"/>
      <c r="AY439" s="819"/>
      <c r="AZ439" s="819"/>
      <c r="BA439" s="819"/>
    </row>
    <row r="440" spans="1:54" ht="14.1" customHeight="1" thickTop="1">
      <c r="B440" s="819"/>
      <c r="C440" s="819"/>
      <c r="D440" s="819"/>
      <c r="E440" s="819"/>
      <c r="F440" s="819"/>
      <c r="G440" s="819"/>
      <c r="H440" s="819"/>
      <c r="I440" s="819"/>
      <c r="J440" s="819"/>
      <c r="K440" s="819"/>
      <c r="L440" s="819"/>
      <c r="M440" s="819"/>
      <c r="N440" s="819"/>
      <c r="O440" s="819"/>
      <c r="P440" s="819"/>
      <c r="Q440" s="819"/>
      <c r="R440" s="819"/>
      <c r="S440" s="819"/>
      <c r="T440" s="819"/>
      <c r="U440" s="819"/>
      <c r="V440" s="819"/>
      <c r="W440" s="819"/>
      <c r="X440" s="819"/>
      <c r="Y440" s="819"/>
      <c r="Z440" s="819"/>
      <c r="AA440" s="819"/>
      <c r="AB440" s="819"/>
      <c r="AC440" s="819"/>
      <c r="AE440" s="819"/>
      <c r="AF440" s="819"/>
      <c r="AG440" s="819"/>
      <c r="AH440" s="819"/>
      <c r="AI440" s="819"/>
      <c r="AJ440" s="819"/>
      <c r="AK440" s="819"/>
      <c r="AL440" s="819"/>
      <c r="AM440" s="819"/>
      <c r="AN440" s="819"/>
      <c r="AO440" s="819"/>
      <c r="AP440" s="819"/>
      <c r="AQ440" s="819"/>
      <c r="AR440" s="819"/>
      <c r="AS440" s="819"/>
      <c r="AT440" s="819"/>
      <c r="AU440" s="819"/>
      <c r="AV440" s="819"/>
      <c r="AW440" s="819"/>
      <c r="AX440" s="819"/>
      <c r="AY440" s="819"/>
      <c r="AZ440" s="819"/>
      <c r="BA440" s="819"/>
    </row>
    <row r="459" spans="36:36">
      <c r="AJ459" s="819" t="s">
        <v>1451</v>
      </c>
    </row>
    <row r="460" spans="36:36">
      <c r="AJ460" s="819" t="s">
        <v>1523</v>
      </c>
    </row>
    <row r="461" spans="36:36">
      <c r="AJ461" s="819" t="s">
        <v>1524</v>
      </c>
    </row>
    <row r="462" spans="36:36">
      <c r="AJ462" s="819" t="s">
        <v>1525</v>
      </c>
    </row>
    <row r="481" spans="1:28">
      <c r="A481" s="819"/>
      <c r="B481" s="819"/>
      <c r="C481" s="819"/>
      <c r="D481" s="819"/>
      <c r="E481" s="819"/>
      <c r="F481" s="819"/>
      <c r="G481" s="819"/>
      <c r="H481" s="819"/>
      <c r="I481" s="819"/>
      <c r="J481" s="819"/>
      <c r="K481" s="819"/>
      <c r="L481" s="819"/>
      <c r="M481" s="819"/>
      <c r="N481" s="819"/>
      <c r="O481" s="819"/>
      <c r="P481" s="819"/>
      <c r="Q481" s="819"/>
      <c r="R481" s="819"/>
      <c r="S481" s="819"/>
      <c r="T481" s="819"/>
      <c r="U481" s="819"/>
      <c r="V481" s="819"/>
      <c r="W481" s="819"/>
      <c r="X481" s="819"/>
      <c r="Y481" s="819"/>
      <c r="Z481" s="819"/>
      <c r="AA481" s="819"/>
      <c r="AB481" s="819"/>
    </row>
  </sheetData>
  <sheetProtection algorithmName="SHA-512" hashValue="7Lte+sGmdvmN8ll9PYAQzrqRQj/M8W8zLGeAJPWo+SNl/5iEfXziCJA6Q+Iz2T2iSYCrj6fVemdrUnVCOsq/+g==" saltValue="Tiw95vsZNMINOnLwh0L/5A==" spinCount="100000" sheet="1" objects="1" scenarios="1"/>
  <mergeCells count="335">
    <mergeCell ref="D435:AB438"/>
    <mergeCell ref="E412:E413"/>
    <mergeCell ref="J412:J413"/>
    <mergeCell ref="O412:O413"/>
    <mergeCell ref="G416:H416"/>
    <mergeCell ref="L416:M416"/>
    <mergeCell ref="L428:M428"/>
    <mergeCell ref="D347:AB348"/>
    <mergeCell ref="D373:AC377"/>
    <mergeCell ref="E384:E385"/>
    <mergeCell ref="J384:J385"/>
    <mergeCell ref="O384:O385"/>
    <mergeCell ref="L402:M402"/>
    <mergeCell ref="G388:H388"/>
    <mergeCell ref="L388:M388"/>
    <mergeCell ref="D404:AB407"/>
    <mergeCell ref="G394:H394"/>
    <mergeCell ref="L394:M394"/>
    <mergeCell ref="A380:T380"/>
    <mergeCell ref="E390:E391"/>
    <mergeCell ref="J390:J391"/>
    <mergeCell ref="O390:O391"/>
    <mergeCell ref="C372:D372"/>
    <mergeCell ref="E396:E397"/>
    <mergeCell ref="R304:S304"/>
    <mergeCell ref="F302:F303"/>
    <mergeCell ref="K302:K303"/>
    <mergeCell ref="P302:P303"/>
    <mergeCell ref="C312:D312"/>
    <mergeCell ref="D313:AC320"/>
    <mergeCell ref="L343:M343"/>
    <mergeCell ref="K332:N332"/>
    <mergeCell ref="K290:K291"/>
    <mergeCell ref="F306:F307"/>
    <mergeCell ref="K306:K307"/>
    <mergeCell ref="P306:P307"/>
    <mergeCell ref="L293:O293"/>
    <mergeCell ref="O327:O328"/>
    <mergeCell ref="G331:H331"/>
    <mergeCell ref="B304:B305"/>
    <mergeCell ref="H310:I310"/>
    <mergeCell ref="M310:N310"/>
    <mergeCell ref="G293:J293"/>
    <mergeCell ref="J301:L301"/>
    <mergeCell ref="C304:D304"/>
    <mergeCell ref="O308:Q310"/>
    <mergeCell ref="B283:B284"/>
    <mergeCell ref="F285:F286"/>
    <mergeCell ref="K285:K286"/>
    <mergeCell ref="P285:P286"/>
    <mergeCell ref="M289:N289"/>
    <mergeCell ref="F281:F282"/>
    <mergeCell ref="K281:K282"/>
    <mergeCell ref="J280:L280"/>
    <mergeCell ref="R284:S286"/>
    <mergeCell ref="C264:J264"/>
    <mergeCell ref="C265:AC269"/>
    <mergeCell ref="R283:S283"/>
    <mergeCell ref="Q289:R289"/>
    <mergeCell ref="C283:D283"/>
    <mergeCell ref="P281:P282"/>
    <mergeCell ref="G272:J272"/>
    <mergeCell ref="L272:O272"/>
    <mergeCell ref="H289:I289"/>
    <mergeCell ref="C256:D256"/>
    <mergeCell ref="X254:X255"/>
    <mergeCell ref="P258:P259"/>
    <mergeCell ref="R256:S256"/>
    <mergeCell ref="F254:F255"/>
    <mergeCell ref="F258:F259"/>
    <mergeCell ref="G243:J243"/>
    <mergeCell ref="L245:O245"/>
    <mergeCell ref="H245:I246"/>
    <mergeCell ref="E253:G253"/>
    <mergeCell ref="R257:S258"/>
    <mergeCell ref="X258:X259"/>
    <mergeCell ref="Q262:R262"/>
    <mergeCell ref="P254:P255"/>
    <mergeCell ref="Y256:Z256"/>
    <mergeCell ref="K254:K255"/>
    <mergeCell ref="K258:K259"/>
    <mergeCell ref="M262:N262"/>
    <mergeCell ref="G262:I262"/>
    <mergeCell ref="E224:E225"/>
    <mergeCell ref="Q222:R222"/>
    <mergeCell ref="N222:O223"/>
    <mergeCell ref="P222:P223"/>
    <mergeCell ref="A222:A223"/>
    <mergeCell ref="C230:D230"/>
    <mergeCell ref="A183:W183"/>
    <mergeCell ref="D231:AC238"/>
    <mergeCell ref="H244:I244"/>
    <mergeCell ref="B241:AA242"/>
    <mergeCell ref="Y220:Y221"/>
    <mergeCell ref="L223:M226"/>
    <mergeCell ref="X226:Z228"/>
    <mergeCell ref="AA222:AB222"/>
    <mergeCell ref="V228:W228"/>
    <mergeCell ref="Y224:Y225"/>
    <mergeCell ref="J220:J221"/>
    <mergeCell ref="L222:M222"/>
    <mergeCell ref="G228:H228"/>
    <mergeCell ref="J224:J225"/>
    <mergeCell ref="C203:J203"/>
    <mergeCell ref="J193:J194"/>
    <mergeCell ref="O193:O194"/>
    <mergeCell ref="G195:H195"/>
    <mergeCell ref="L186:M187"/>
    <mergeCell ref="D204:AB209"/>
    <mergeCell ref="T224:T225"/>
    <mergeCell ref="B222:C222"/>
    <mergeCell ref="V22:AC22"/>
    <mergeCell ref="D129:AB133"/>
    <mergeCell ref="A136:T136"/>
    <mergeCell ref="D155:AB159"/>
    <mergeCell ref="D176:AB180"/>
    <mergeCell ref="N186:P187"/>
    <mergeCell ref="G113:H113"/>
    <mergeCell ref="T18:U18"/>
    <mergeCell ref="V18:W18"/>
    <mergeCell ref="X18:Y18"/>
    <mergeCell ref="Z18:AA18"/>
    <mergeCell ref="A29:G29"/>
    <mergeCell ref="I29:J29"/>
    <mergeCell ref="L29:M29"/>
    <mergeCell ref="O29:P29"/>
    <mergeCell ref="S32:Y32"/>
    <mergeCell ref="AA32:AB32"/>
    <mergeCell ref="O32:P32"/>
    <mergeCell ref="A23:G23"/>
    <mergeCell ref="I23:J23"/>
    <mergeCell ref="L23:M23"/>
    <mergeCell ref="O23:P23"/>
    <mergeCell ref="R23:S23"/>
    <mergeCell ref="I24:J24"/>
    <mergeCell ref="A2:AB2"/>
    <mergeCell ref="G4:H4"/>
    <mergeCell ref="J4:L4"/>
    <mergeCell ref="M4:Q4"/>
    <mergeCell ref="G14:H14"/>
    <mergeCell ref="I14:M14"/>
    <mergeCell ref="N14:P14"/>
    <mergeCell ref="Q14:R14"/>
    <mergeCell ref="T14:AB14"/>
    <mergeCell ref="A7:P7"/>
    <mergeCell ref="I16:M16"/>
    <mergeCell ref="N16:P16"/>
    <mergeCell ref="Q16:R16"/>
    <mergeCell ref="I17:M17"/>
    <mergeCell ref="N17:P17"/>
    <mergeCell ref="C9:AB11"/>
    <mergeCell ref="I15:M15"/>
    <mergeCell ref="N15:P15"/>
    <mergeCell ref="Q15:R15"/>
    <mergeCell ref="T12:AB13"/>
    <mergeCell ref="I13:M13"/>
    <mergeCell ref="N13:P13"/>
    <mergeCell ref="Q17:R17"/>
    <mergeCell ref="T15:U15"/>
    <mergeCell ref="V15:W15"/>
    <mergeCell ref="X15:Y15"/>
    <mergeCell ref="Z15:AA15"/>
    <mergeCell ref="T16:U16"/>
    <mergeCell ref="V16:W16"/>
    <mergeCell ref="X16:Y16"/>
    <mergeCell ref="Z16:AA16"/>
    <mergeCell ref="T17:U17"/>
    <mergeCell ref="V17:W17"/>
    <mergeCell ref="X17:Y17"/>
    <mergeCell ref="Z17:AA17"/>
    <mergeCell ref="I21:J21"/>
    <mergeCell ref="L21:M21"/>
    <mergeCell ref="O21:P21"/>
    <mergeCell ref="A20:G20"/>
    <mergeCell ref="I20:J20"/>
    <mergeCell ref="L20:M20"/>
    <mergeCell ref="O20:P20"/>
    <mergeCell ref="R20:S20"/>
    <mergeCell ref="V21:AC21"/>
    <mergeCell ref="L24:M24"/>
    <mergeCell ref="O24:P24"/>
    <mergeCell ref="AA26:AB26"/>
    <mergeCell ref="O27:P27"/>
    <mergeCell ref="R29:S29"/>
    <mergeCell ref="O26:P26"/>
    <mergeCell ref="S26:Y26"/>
    <mergeCell ref="I30:J30"/>
    <mergeCell ref="L30:M30"/>
    <mergeCell ref="O30:P30"/>
    <mergeCell ref="U27:AB27"/>
    <mergeCell ref="U33:AB33"/>
    <mergeCell ref="P35:Y35"/>
    <mergeCell ref="AA35:AB35"/>
    <mergeCell ref="D50:D51"/>
    <mergeCell ref="F50:J50"/>
    <mergeCell ref="K50:K51"/>
    <mergeCell ref="O33:P33"/>
    <mergeCell ref="A40:P40"/>
    <mergeCell ref="A43:S43"/>
    <mergeCell ref="D46:D47"/>
    <mergeCell ref="F46:G46"/>
    <mergeCell ref="K46:K47"/>
    <mergeCell ref="E34:O36"/>
    <mergeCell ref="F37:N37"/>
    <mergeCell ref="F38:N38"/>
    <mergeCell ref="U37:AC37"/>
    <mergeCell ref="U38:AC38"/>
    <mergeCell ref="D59:AB59"/>
    <mergeCell ref="D63:D64"/>
    <mergeCell ref="F63:G63"/>
    <mergeCell ref="K63:K64"/>
    <mergeCell ref="N63:N64"/>
    <mergeCell ref="P63:Q63"/>
    <mergeCell ref="D54:D55"/>
    <mergeCell ref="F54:G54"/>
    <mergeCell ref="K54:K55"/>
    <mergeCell ref="C58:D58"/>
    <mergeCell ref="R63:S63"/>
    <mergeCell ref="D67:D68"/>
    <mergeCell ref="F67:G67"/>
    <mergeCell ref="K67:K68"/>
    <mergeCell ref="N67:N68"/>
    <mergeCell ref="P67:T67"/>
    <mergeCell ref="D71:D72"/>
    <mergeCell ref="F71:G71"/>
    <mergeCell ref="K71:K72"/>
    <mergeCell ref="N71:N72"/>
    <mergeCell ref="C104:D104"/>
    <mergeCell ref="B74:C75"/>
    <mergeCell ref="C76:D76"/>
    <mergeCell ref="D77:AB78"/>
    <mergeCell ref="A81:S81"/>
    <mergeCell ref="E91:E92"/>
    <mergeCell ref="J91:J92"/>
    <mergeCell ref="P71:Q71"/>
    <mergeCell ref="E121:E122"/>
    <mergeCell ref="J121:J122"/>
    <mergeCell ref="E97:E98"/>
    <mergeCell ref="J97:J98"/>
    <mergeCell ref="G101:H102"/>
    <mergeCell ref="G103:H103"/>
    <mergeCell ref="D105:AB105"/>
    <mergeCell ref="E115:E116"/>
    <mergeCell ref="J115:J116"/>
    <mergeCell ref="G119:H119"/>
    <mergeCell ref="R71:S71"/>
    <mergeCell ref="E85:E86"/>
    <mergeCell ref="J85:J86"/>
    <mergeCell ref="G89:H89"/>
    <mergeCell ref="E109:E110"/>
    <mergeCell ref="J109:J110"/>
    <mergeCell ref="B125:C126"/>
    <mergeCell ref="G125:H125"/>
    <mergeCell ref="C128:D128"/>
    <mergeCell ref="K144:K145"/>
    <mergeCell ref="M146:N146"/>
    <mergeCell ref="K148:K149"/>
    <mergeCell ref="C175:D175"/>
    <mergeCell ref="H139:I139"/>
    <mergeCell ref="H140:I141"/>
    <mergeCell ref="F144:F145"/>
    <mergeCell ref="C146:D146"/>
    <mergeCell ref="F148:F149"/>
    <mergeCell ref="H152:I152"/>
    <mergeCell ref="C154:D154"/>
    <mergeCell ref="H173:I173"/>
    <mergeCell ref="B167:B168"/>
    <mergeCell ref="H162:I162"/>
    <mergeCell ref="F165:F166"/>
    <mergeCell ref="K165:K166"/>
    <mergeCell ref="C167:D167"/>
    <mergeCell ref="M167:N167"/>
    <mergeCell ref="F169:F170"/>
    <mergeCell ref="K169:K170"/>
    <mergeCell ref="E220:E221"/>
    <mergeCell ref="T220:T221"/>
    <mergeCell ref="J353:J354"/>
    <mergeCell ref="O353:O354"/>
    <mergeCell ref="Q195:R195"/>
    <mergeCell ref="J197:J198"/>
    <mergeCell ref="O197:O198"/>
    <mergeCell ref="F201:G202"/>
    <mergeCell ref="L201:M201"/>
    <mergeCell ref="A323:T323"/>
    <mergeCell ref="E333:E334"/>
    <mergeCell ref="C346:D346"/>
    <mergeCell ref="J333:J334"/>
    <mergeCell ref="O333:O334"/>
    <mergeCell ref="T333:U333"/>
    <mergeCell ref="G337:H337"/>
    <mergeCell ref="L337:M337"/>
    <mergeCell ref="G343:H344"/>
    <mergeCell ref="E339:E340"/>
    <mergeCell ref="J339:J340"/>
    <mergeCell ref="O339:O340"/>
    <mergeCell ref="T339:U339"/>
    <mergeCell ref="E327:E328"/>
    <mergeCell ref="J327:J328"/>
    <mergeCell ref="G345:H345"/>
    <mergeCell ref="T390:U390"/>
    <mergeCell ref="B368:C369"/>
    <mergeCell ref="E359:E360"/>
    <mergeCell ref="J359:J360"/>
    <mergeCell ref="O359:O360"/>
    <mergeCell ref="G357:H357"/>
    <mergeCell ref="L357:M357"/>
    <mergeCell ref="T359:U359"/>
    <mergeCell ref="G363:H363"/>
    <mergeCell ref="L363:M363"/>
    <mergeCell ref="E365:E366"/>
    <mergeCell ref="J365:J366"/>
    <mergeCell ref="O365:O366"/>
    <mergeCell ref="T365:U365"/>
    <mergeCell ref="E353:E354"/>
    <mergeCell ref="J396:J397"/>
    <mergeCell ref="O396:O397"/>
    <mergeCell ref="T396:U396"/>
    <mergeCell ref="C434:D434"/>
    <mergeCell ref="E418:E419"/>
    <mergeCell ref="B427:C428"/>
    <mergeCell ref="G428:H429"/>
    <mergeCell ref="G430:H430"/>
    <mergeCell ref="J418:J419"/>
    <mergeCell ref="O418:O419"/>
    <mergeCell ref="T418:U418"/>
    <mergeCell ref="G422:H422"/>
    <mergeCell ref="L422:M422"/>
    <mergeCell ref="E424:E425"/>
    <mergeCell ref="J424:J425"/>
    <mergeCell ref="C403:D403"/>
    <mergeCell ref="B399:C400"/>
    <mergeCell ref="L400:M401"/>
    <mergeCell ref="G400:H400"/>
    <mergeCell ref="O424:O425"/>
    <mergeCell ref="T424:U424"/>
  </mergeCells>
  <phoneticPr fontId="74" type="noConversion"/>
  <conditionalFormatting sqref="U33:AB33">
    <cfRule type="expression" dxfId="15" priority="2" stopIfTrue="1">
      <formula>$R$29&lt;0.5</formula>
    </cfRule>
  </conditionalFormatting>
  <conditionalFormatting sqref="U27:AB27">
    <cfRule type="expression" dxfId="14" priority="1" stopIfTrue="1">
      <formula>MIN($R$20,$R$23)&lt;0.5</formula>
    </cfRule>
  </conditionalFormatting>
  <dataValidations count="1">
    <dataValidation type="list" allowBlank="1" showInputMessage="1" showErrorMessage="1" sqref="V22:AC22" xr:uid="{00000000-0002-0000-0B00-000000000000}">
      <formula1>$AJ$459:$AJ$462</formula1>
    </dataValidation>
  </dataValidations>
  <pageMargins left="0.7" right="0.7" top="0.75" bottom="0.75" header="0.3" footer="0.3"/>
  <pageSetup paperSize="17" scale="74" orientation="landscape" horizontalDpi="4294967292" r:id="rId1"/>
  <headerFooter alignWithMargins="0">
    <oddFooter>&amp;R&amp;F
Tab: &amp;A</oddFooter>
  </headerFooter>
  <rowBreaks count="1" manualBreakCount="1">
    <brk id="321" max="32"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BG481"/>
  <sheetViews>
    <sheetView showGridLines="0" zoomScaleNormal="100" zoomScaleSheetLayoutView="100" workbookViewId="0">
      <selection activeCell="AF33" sqref="AF33"/>
    </sheetView>
  </sheetViews>
  <sheetFormatPr defaultColWidth="9.109375" defaultRowHeight="13.2"/>
  <cols>
    <col min="1" max="29" width="4.88671875" style="527" customWidth="1"/>
    <col min="30" max="30" width="6.44140625" style="606" bestFit="1" customWidth="1"/>
    <col min="31" max="33" width="4.88671875" style="527" customWidth="1"/>
    <col min="34" max="16384" width="9.109375" style="527"/>
  </cols>
  <sheetData>
    <row r="1" spans="1:55" ht="17.100000000000001" customHeight="1">
      <c r="A1" s="819"/>
      <c r="B1" s="819"/>
      <c r="C1" s="819"/>
      <c r="D1" s="819"/>
      <c r="E1" s="819"/>
      <c r="F1" s="819"/>
      <c r="G1" s="819"/>
      <c r="H1" s="819"/>
      <c r="I1" s="819"/>
      <c r="J1" s="819"/>
      <c r="K1" s="819"/>
      <c r="L1" s="819"/>
      <c r="M1" s="819"/>
      <c r="N1" s="819"/>
      <c r="O1" s="819"/>
      <c r="P1" s="819"/>
      <c r="Q1" s="819"/>
      <c r="R1" s="819"/>
      <c r="S1" s="819"/>
      <c r="T1" s="819"/>
      <c r="U1" s="819"/>
      <c r="V1" s="819"/>
      <c r="W1" s="819"/>
      <c r="X1" s="819"/>
      <c r="Y1" s="819"/>
      <c r="Z1" s="819"/>
      <c r="AA1" s="819"/>
      <c r="AB1" s="819"/>
      <c r="AC1" s="819"/>
      <c r="AE1" s="819"/>
      <c r="AF1" s="819"/>
      <c r="AG1" s="819"/>
      <c r="AH1" s="819"/>
      <c r="AI1" s="819"/>
      <c r="AJ1" s="819"/>
      <c r="AK1" s="819"/>
      <c r="AL1" s="819"/>
      <c r="AM1" s="819"/>
      <c r="AN1" s="819"/>
      <c r="AO1" s="819"/>
      <c r="AP1" s="819"/>
      <c r="AQ1" s="819"/>
      <c r="AR1" s="819"/>
      <c r="AS1" s="819"/>
      <c r="AT1" s="819"/>
      <c r="AU1" s="819"/>
      <c r="AV1" s="819"/>
      <c r="AW1" s="819"/>
      <c r="AX1" s="819"/>
      <c r="AY1" s="819"/>
      <c r="AZ1" s="819"/>
      <c r="BA1" s="819"/>
      <c r="BB1" s="819"/>
      <c r="BC1" s="819"/>
    </row>
    <row r="2" spans="1:55" ht="17.100000000000001" customHeight="1">
      <c r="A2" s="2083" t="s">
        <v>1427</v>
      </c>
      <c r="B2" s="2083"/>
      <c r="C2" s="2083"/>
      <c r="D2" s="2083"/>
      <c r="E2" s="2083"/>
      <c r="F2" s="2083"/>
      <c r="G2" s="2083"/>
      <c r="H2" s="2083"/>
      <c r="I2" s="2083"/>
      <c r="J2" s="2083"/>
      <c r="K2" s="2083"/>
      <c r="L2" s="2083"/>
      <c r="M2" s="2083"/>
      <c r="N2" s="2083"/>
      <c r="O2" s="2083"/>
      <c r="P2" s="2083"/>
      <c r="Q2" s="2083"/>
      <c r="R2" s="2083"/>
      <c r="S2" s="2083"/>
      <c r="T2" s="2083"/>
      <c r="U2" s="2083"/>
      <c r="V2" s="2083"/>
      <c r="W2" s="2083"/>
      <c r="X2" s="2083"/>
      <c r="Y2" s="2083"/>
      <c r="Z2" s="2083"/>
      <c r="AA2" s="2083"/>
      <c r="AB2" s="2083"/>
      <c r="AC2" s="528"/>
      <c r="AD2" s="609"/>
      <c r="AE2" s="529"/>
      <c r="AF2" s="529"/>
      <c r="AG2" s="529"/>
      <c r="AH2" s="529"/>
      <c r="AI2" s="529"/>
      <c r="AJ2" s="529"/>
      <c r="AK2" s="529"/>
      <c r="AL2" s="529"/>
      <c r="AM2" s="529"/>
      <c r="AN2" s="529"/>
      <c r="AO2" s="529"/>
      <c r="AP2" s="529"/>
      <c r="AQ2" s="529"/>
      <c r="AR2" s="529"/>
      <c r="AS2" s="529"/>
      <c r="AT2" s="529"/>
      <c r="AU2" s="529"/>
      <c r="AV2" s="529"/>
      <c r="AW2" s="529"/>
      <c r="AX2" s="529"/>
      <c r="AY2" s="529"/>
      <c r="AZ2" s="819"/>
      <c r="BA2" s="819"/>
      <c r="BB2" s="819"/>
      <c r="BC2" s="819"/>
    </row>
    <row r="3" spans="1:55" ht="17.100000000000001" customHeight="1">
      <c r="A3" s="530"/>
      <c r="B3" s="530"/>
      <c r="C3" s="819"/>
      <c r="D3" s="819"/>
      <c r="E3" s="819"/>
      <c r="F3" s="819"/>
      <c r="G3" s="819"/>
      <c r="H3" s="819"/>
      <c r="I3" s="530"/>
      <c r="J3" s="530"/>
      <c r="K3" s="530"/>
      <c r="L3" s="530"/>
      <c r="M3" s="530"/>
      <c r="N3" s="530"/>
      <c r="O3" s="530"/>
      <c r="P3" s="530"/>
      <c r="Q3" s="530"/>
      <c r="R3" s="530"/>
      <c r="S3" s="530"/>
      <c r="T3" s="530"/>
      <c r="U3" s="530"/>
      <c r="V3" s="530"/>
      <c r="W3" s="530"/>
      <c r="X3" s="530"/>
      <c r="Y3" s="530"/>
      <c r="Z3" s="530"/>
      <c r="AA3" s="530"/>
      <c r="AB3" s="530"/>
      <c r="AC3" s="819"/>
      <c r="AE3" s="819"/>
      <c r="AF3" s="819"/>
      <c r="AG3" s="819"/>
      <c r="AH3" s="819"/>
      <c r="AI3" s="819"/>
      <c r="AJ3" s="819"/>
      <c r="AK3" s="819"/>
      <c r="AL3" s="819"/>
      <c r="AM3" s="819"/>
      <c r="AN3" s="819"/>
      <c r="AO3" s="819"/>
      <c r="AP3" s="819"/>
      <c r="AQ3" s="819"/>
      <c r="AR3" s="819"/>
      <c r="AS3" s="819"/>
      <c r="AT3" s="819"/>
      <c r="AU3" s="819"/>
      <c r="AV3" s="819"/>
      <c r="AW3" s="819"/>
      <c r="AX3" s="819"/>
      <c r="AY3" s="819"/>
      <c r="AZ3" s="819"/>
      <c r="BA3" s="819"/>
      <c r="BB3" s="819"/>
      <c r="BC3" s="819"/>
    </row>
    <row r="4" spans="1:55" ht="17.100000000000001" customHeight="1">
      <c r="A4" s="1322"/>
      <c r="B4" s="1322"/>
      <c r="C4" s="1322"/>
      <c r="D4" s="532"/>
      <c r="E4" s="819"/>
      <c r="F4" s="819"/>
      <c r="G4" s="2008"/>
      <c r="H4" s="2008"/>
      <c r="I4" s="1322"/>
      <c r="J4" s="2084" t="s">
        <v>1428</v>
      </c>
      <c r="K4" s="2084"/>
      <c r="L4" s="2084"/>
      <c r="M4" s="2085">
        <v>12345</v>
      </c>
      <c r="N4" s="2086"/>
      <c r="O4" s="2086"/>
      <c r="P4" s="2086"/>
      <c r="Q4" s="2087"/>
      <c r="R4" s="1322"/>
      <c r="S4" s="1322"/>
      <c r="T4" s="1322"/>
      <c r="U4" s="1322"/>
      <c r="V4" s="1322"/>
      <c r="W4" s="1322"/>
      <c r="X4" s="1322"/>
      <c r="Y4" s="1322"/>
      <c r="Z4" s="1322"/>
      <c r="AA4" s="1322"/>
      <c r="AB4" s="1322"/>
      <c r="AC4" s="531"/>
      <c r="AE4" s="819"/>
      <c r="AF4" s="819"/>
      <c r="AG4" s="819"/>
      <c r="AH4" s="819"/>
      <c r="AI4" s="819"/>
      <c r="AJ4" s="819"/>
      <c r="AK4" s="819"/>
      <c r="AL4" s="819"/>
      <c r="AM4" s="819"/>
      <c r="AN4" s="819"/>
      <c r="AO4" s="819"/>
      <c r="AP4" s="819"/>
      <c r="AQ4" s="819"/>
      <c r="AR4" s="819"/>
      <c r="AS4" s="819"/>
      <c r="AT4" s="819"/>
      <c r="AU4" s="819"/>
      <c r="AV4" s="819"/>
      <c r="AW4" s="819"/>
      <c r="AX4" s="819"/>
      <c r="AY4" s="819"/>
      <c r="AZ4" s="819"/>
      <c r="BB4" s="819"/>
      <c r="BC4" s="819"/>
    </row>
    <row r="5" spans="1:55" ht="16.5" customHeight="1" thickBot="1">
      <c r="A5" s="1323"/>
      <c r="B5" s="1323"/>
      <c r="C5" s="1323"/>
      <c r="D5" s="1323"/>
      <c r="E5" s="1323"/>
      <c r="F5" s="1323"/>
      <c r="G5" s="1323"/>
      <c r="H5" s="1323"/>
      <c r="I5" s="1323"/>
      <c r="J5" s="1323"/>
      <c r="K5" s="1323"/>
      <c r="L5" s="1323"/>
      <c r="M5" s="1323"/>
      <c r="N5" s="1323"/>
      <c r="O5" s="1323"/>
      <c r="P5" s="1323"/>
      <c r="Q5" s="1323"/>
      <c r="R5" s="1323"/>
      <c r="S5" s="1323"/>
      <c r="T5" s="1323"/>
      <c r="U5" s="1323"/>
      <c r="V5" s="1323"/>
      <c r="W5" s="1323"/>
      <c r="X5" s="1323"/>
      <c r="Y5" s="1323"/>
      <c r="Z5" s="1323"/>
      <c r="AA5" s="1323"/>
      <c r="AB5" s="1323"/>
      <c r="AC5" s="819"/>
      <c r="AE5" s="819"/>
      <c r="AF5" s="819"/>
      <c r="AG5" s="819"/>
      <c r="AH5" s="819"/>
      <c r="AI5" s="819"/>
      <c r="AJ5" s="819"/>
      <c r="AK5" s="819"/>
      <c r="AL5" s="819"/>
      <c r="AM5" s="819"/>
      <c r="AN5" s="819"/>
      <c r="AO5" s="819"/>
      <c r="AP5" s="819"/>
      <c r="AQ5" s="819"/>
      <c r="AR5" s="819"/>
      <c r="AS5" s="819"/>
      <c r="AT5" s="819"/>
      <c r="AU5" s="819"/>
      <c r="AV5" s="819"/>
      <c r="AW5" s="819"/>
      <c r="AX5" s="819"/>
      <c r="AY5" s="819"/>
      <c r="BA5" s="819"/>
      <c r="BB5" s="819"/>
      <c r="BC5" s="819"/>
    </row>
    <row r="6" spans="1:55" ht="17.100000000000001" customHeight="1" thickTop="1">
      <c r="A6" s="1324"/>
      <c r="B6" s="1324"/>
      <c r="C6" s="1324"/>
      <c r="D6" s="1324"/>
      <c r="E6" s="1324"/>
      <c r="F6" s="1324"/>
      <c r="G6" s="1324"/>
      <c r="H6" s="1324"/>
      <c r="I6" s="1324"/>
      <c r="J6" s="1324"/>
      <c r="K6" s="1324"/>
      <c r="L6" s="1324"/>
      <c r="M6" s="1324"/>
      <c r="N6" s="1324"/>
      <c r="O6" s="1324"/>
      <c r="P6" s="1324"/>
      <c r="Q6" s="1324"/>
      <c r="R6" s="1324"/>
      <c r="S6" s="819"/>
      <c r="T6" s="819"/>
      <c r="U6" s="819"/>
      <c r="V6" s="819"/>
      <c r="W6" s="819"/>
      <c r="X6" s="819"/>
      <c r="Y6" s="819"/>
      <c r="Z6" s="819"/>
      <c r="AA6" s="819"/>
      <c r="AB6" s="819"/>
      <c r="AE6" s="819"/>
      <c r="AF6" s="819"/>
      <c r="AG6" s="819"/>
      <c r="AH6" s="819"/>
      <c r="AI6" s="819"/>
      <c r="AJ6" s="819"/>
      <c r="AK6" s="819"/>
      <c r="AL6" s="819"/>
      <c r="AM6" s="819"/>
      <c r="AN6" s="819"/>
      <c r="AO6" s="819"/>
      <c r="AP6" s="819"/>
      <c r="AQ6" s="819"/>
      <c r="AR6" s="819"/>
      <c r="AS6" s="819"/>
      <c r="AT6" s="819"/>
      <c r="AU6" s="819"/>
      <c r="AV6" s="819"/>
      <c r="AW6" s="819"/>
      <c r="AX6" s="819"/>
      <c r="AY6" s="819"/>
      <c r="AZ6" s="819"/>
      <c r="BB6" s="819"/>
      <c r="BC6" s="819"/>
    </row>
    <row r="7" spans="1:55" ht="16.5" customHeight="1">
      <c r="A7" s="2037" t="s">
        <v>1429</v>
      </c>
      <c r="B7" s="2037"/>
      <c r="C7" s="2037"/>
      <c r="D7" s="2037"/>
      <c r="E7" s="2037"/>
      <c r="F7" s="2037"/>
      <c r="G7" s="2037"/>
      <c r="H7" s="2037"/>
      <c r="I7" s="2037"/>
      <c r="J7" s="2037"/>
      <c r="K7" s="2037"/>
      <c r="L7" s="2037"/>
      <c r="M7" s="2037"/>
      <c r="N7" s="2037"/>
      <c r="O7" s="2037"/>
      <c r="P7" s="2037"/>
      <c r="Q7" s="790" t="s">
        <v>1430</v>
      </c>
      <c r="R7" s="1325"/>
      <c r="S7" s="1325"/>
      <c r="T7" s="1325"/>
      <c r="U7" s="1325"/>
      <c r="V7" s="1325"/>
      <c r="W7" s="1325"/>
      <c r="X7" s="1325"/>
      <c r="Y7" s="1325"/>
      <c r="Z7" s="1325"/>
      <c r="AA7" s="1325"/>
      <c r="AB7" s="1325"/>
      <c r="AC7" s="819"/>
      <c r="AD7" s="609"/>
      <c r="AF7" s="819"/>
      <c r="AG7" s="819"/>
      <c r="AH7" s="819"/>
      <c r="AI7" s="819"/>
      <c r="AJ7" s="819"/>
      <c r="AK7" s="819"/>
      <c r="AL7" s="819"/>
      <c r="AM7" s="819"/>
      <c r="AN7" s="819"/>
      <c r="AO7" s="819"/>
      <c r="AP7" s="819"/>
      <c r="AQ7" s="819"/>
      <c r="AR7" s="819"/>
      <c r="AS7" s="819"/>
      <c r="AT7" s="819"/>
      <c r="AU7" s="819"/>
      <c r="AV7" s="819"/>
      <c r="AW7" s="819"/>
      <c r="AX7" s="819"/>
      <c r="AY7" s="819"/>
      <c r="AZ7" s="819"/>
      <c r="BA7" s="819"/>
      <c r="BB7" s="819"/>
    </row>
    <row r="8" spans="1:55" ht="17.100000000000001" customHeight="1">
      <c r="AE8" s="819"/>
      <c r="AF8" s="819"/>
      <c r="AG8" s="819"/>
      <c r="AH8" s="819"/>
      <c r="AI8" s="819"/>
      <c r="AJ8" s="819"/>
      <c r="AK8" s="819"/>
      <c r="AL8" s="819"/>
      <c r="AM8" s="819"/>
      <c r="AN8" s="819"/>
      <c r="AO8" s="819"/>
      <c r="AP8" s="819"/>
      <c r="AQ8" s="819"/>
      <c r="AR8" s="819"/>
      <c r="AS8" s="819"/>
      <c r="AT8" s="819"/>
      <c r="AU8" s="819"/>
      <c r="AV8" s="819"/>
      <c r="AW8" s="819"/>
      <c r="AX8" s="819"/>
      <c r="AY8" s="819"/>
      <c r="AZ8" s="819"/>
      <c r="BB8" s="819"/>
      <c r="BC8" s="819"/>
    </row>
    <row r="9" spans="1:55" ht="17.100000000000001" customHeight="1">
      <c r="A9" s="819"/>
      <c r="B9" s="819"/>
      <c r="C9" s="2025" t="s">
        <v>1432</v>
      </c>
      <c r="D9" s="2025"/>
      <c r="E9" s="2025"/>
      <c r="F9" s="2025"/>
      <c r="G9" s="2025"/>
      <c r="H9" s="2025"/>
      <c r="I9" s="2025"/>
      <c r="J9" s="2025"/>
      <c r="K9" s="2025"/>
      <c r="L9" s="2025"/>
      <c r="M9" s="2025"/>
      <c r="N9" s="2025"/>
      <c r="O9" s="2025"/>
      <c r="P9" s="2025"/>
      <c r="Q9" s="2025"/>
      <c r="R9" s="2025"/>
      <c r="S9" s="2025"/>
      <c r="T9" s="2025"/>
      <c r="U9" s="2025"/>
      <c r="V9" s="2025"/>
      <c r="W9" s="2025"/>
      <c r="X9" s="2025"/>
      <c r="Y9" s="2025"/>
      <c r="Z9" s="2025"/>
      <c r="AA9" s="2025"/>
      <c r="AB9" s="2025"/>
    </row>
    <row r="10" spans="1:55" ht="14.1" customHeight="1">
      <c r="A10" s="819"/>
      <c r="B10" s="819"/>
      <c r="C10" s="2025"/>
      <c r="D10" s="2025"/>
      <c r="E10" s="2025"/>
      <c r="F10" s="2025"/>
      <c r="G10" s="2025"/>
      <c r="H10" s="2025"/>
      <c r="I10" s="2025"/>
      <c r="J10" s="2025"/>
      <c r="K10" s="2025"/>
      <c r="L10" s="2025"/>
      <c r="M10" s="2025"/>
      <c r="N10" s="2025"/>
      <c r="O10" s="2025"/>
      <c r="P10" s="2025"/>
      <c r="Q10" s="2025"/>
      <c r="R10" s="2025"/>
      <c r="S10" s="2025"/>
      <c r="T10" s="2025"/>
      <c r="U10" s="2025"/>
      <c r="V10" s="2025"/>
      <c r="W10" s="2025"/>
      <c r="X10" s="2025"/>
      <c r="Y10" s="2025"/>
      <c r="Z10" s="2025"/>
      <c r="AA10" s="2025"/>
      <c r="AB10" s="2025"/>
      <c r="AC10" s="819"/>
      <c r="AE10" s="819"/>
      <c r="AF10" s="819"/>
      <c r="AG10" s="819"/>
      <c r="AH10" s="819"/>
      <c r="AI10" s="819"/>
      <c r="AJ10" s="819"/>
      <c r="AK10" s="819"/>
      <c r="AL10" s="819"/>
      <c r="AM10" s="819"/>
      <c r="AN10" s="819"/>
      <c r="AO10" s="819"/>
      <c r="AP10" s="819"/>
      <c r="AQ10" s="819"/>
      <c r="AR10" s="819"/>
      <c r="AS10" s="819"/>
      <c r="AT10" s="819"/>
      <c r="AU10" s="819"/>
      <c r="AV10" s="819"/>
      <c r="AW10" s="819"/>
      <c r="AX10" s="819"/>
      <c r="AY10" s="819"/>
      <c r="AZ10" s="819"/>
      <c r="BB10" s="819"/>
      <c r="BC10" s="819"/>
    </row>
    <row r="11" spans="1:55" ht="14.1" customHeight="1">
      <c r="A11" s="819"/>
      <c r="B11" s="819"/>
      <c r="C11" s="2025"/>
      <c r="D11" s="2025"/>
      <c r="E11" s="2025"/>
      <c r="F11" s="2025"/>
      <c r="G11" s="2025"/>
      <c r="H11" s="2025"/>
      <c r="I11" s="2025"/>
      <c r="J11" s="2025"/>
      <c r="K11" s="2025"/>
      <c r="L11" s="2025"/>
      <c r="M11" s="2025"/>
      <c r="N11" s="2025"/>
      <c r="O11" s="2025"/>
      <c r="P11" s="2025"/>
      <c r="Q11" s="2025"/>
      <c r="R11" s="2025"/>
      <c r="S11" s="2025"/>
      <c r="T11" s="2025"/>
      <c r="U11" s="2025"/>
      <c r="V11" s="2025"/>
      <c r="W11" s="2025"/>
      <c r="X11" s="2025"/>
      <c r="Y11" s="2025"/>
      <c r="Z11" s="2025"/>
      <c r="AA11" s="2025"/>
      <c r="AB11" s="2025"/>
      <c r="AC11" s="819"/>
      <c r="AE11" s="819"/>
      <c r="AF11" s="819"/>
      <c r="AG11" s="819"/>
      <c r="AH11" s="819" t="s">
        <v>243</v>
      </c>
      <c r="AI11" s="819"/>
      <c r="AJ11" s="819"/>
      <c r="AK11" s="819"/>
      <c r="AL11" s="819"/>
      <c r="AM11" s="819"/>
      <c r="AN11" s="819"/>
      <c r="AO11" s="819"/>
      <c r="AP11" s="819"/>
      <c r="AQ11" s="819"/>
      <c r="AR11" s="819"/>
      <c r="AS11" s="819"/>
      <c r="AT11" s="819"/>
      <c r="AU11" s="819"/>
      <c r="AV11" s="819"/>
      <c r="AW11" s="819"/>
      <c r="AX11" s="819"/>
      <c r="AY11" s="819"/>
      <c r="AZ11" s="819"/>
      <c r="BB11" s="819"/>
      <c r="BC11" s="819"/>
    </row>
    <row r="12" spans="1:55" ht="14.1" customHeight="1" thickBot="1">
      <c r="A12" s="819"/>
      <c r="B12" s="819"/>
      <c r="C12" s="1406"/>
      <c r="D12" s="1406"/>
      <c r="E12" s="1406"/>
      <c r="F12" s="1406"/>
      <c r="G12" s="1406"/>
      <c r="H12" s="1406"/>
      <c r="I12" s="1406"/>
      <c r="J12" s="1406"/>
      <c r="K12" s="1406"/>
      <c r="L12" s="1406"/>
      <c r="M12" s="1406"/>
      <c r="N12" s="1406"/>
      <c r="O12" s="1406"/>
      <c r="P12" s="1406"/>
      <c r="Q12" s="1406"/>
      <c r="R12" s="1406"/>
      <c r="S12" s="1406"/>
      <c r="T12" s="2025" t="s">
        <v>1433</v>
      </c>
      <c r="U12" s="2025"/>
      <c r="V12" s="2025"/>
      <c r="W12" s="2025"/>
      <c r="X12" s="2025"/>
      <c r="Y12" s="2025"/>
      <c r="Z12" s="2025"/>
      <c r="AA12" s="2025"/>
      <c r="AB12" s="2025"/>
      <c r="AC12" s="819"/>
      <c r="AE12" s="819"/>
      <c r="AF12" s="819"/>
      <c r="AG12" s="819"/>
      <c r="AH12" s="819"/>
      <c r="AI12" s="819"/>
      <c r="AJ12" s="819"/>
      <c r="AK12" s="819"/>
      <c r="AL12" s="819"/>
      <c r="AM12" s="819"/>
      <c r="AN12" s="819"/>
      <c r="AO12" s="819"/>
      <c r="AP12" s="819"/>
      <c r="AQ12" s="819"/>
      <c r="AR12" s="819"/>
      <c r="AS12" s="819"/>
      <c r="AT12" s="819"/>
      <c r="AU12" s="819"/>
      <c r="AV12" s="819"/>
      <c r="AW12" s="819"/>
      <c r="AX12" s="819"/>
      <c r="AY12" s="819"/>
      <c r="AZ12" s="819"/>
      <c r="BB12" s="819"/>
      <c r="BC12" s="819"/>
    </row>
    <row r="13" spans="1:55" ht="14.1" customHeight="1">
      <c r="A13" s="819"/>
      <c r="B13" s="819"/>
      <c r="C13" s="1406"/>
      <c r="D13" s="1406"/>
      <c r="E13" s="1406"/>
      <c r="F13" s="1406"/>
      <c r="G13" s="1406"/>
      <c r="H13" s="1406"/>
      <c r="I13" s="2069" t="s">
        <v>1434</v>
      </c>
      <c r="J13" s="2070"/>
      <c r="K13" s="2070"/>
      <c r="L13" s="2070"/>
      <c r="M13" s="2070"/>
      <c r="N13" s="2071">
        <f>'1) Data Entry'!E16</f>
        <v>0</v>
      </c>
      <c r="O13" s="2071"/>
      <c r="P13" s="2071"/>
      <c r="Q13" s="1326" t="s">
        <v>373</v>
      </c>
      <c r="R13" s="1327"/>
      <c r="S13" s="1406"/>
      <c r="T13" s="2025"/>
      <c r="U13" s="2025"/>
      <c r="V13" s="2025"/>
      <c r="W13" s="2025"/>
      <c r="X13" s="2025"/>
      <c r="Y13" s="2025"/>
      <c r="Z13" s="2025"/>
      <c r="AA13" s="2025"/>
      <c r="AB13" s="2025"/>
      <c r="AC13" s="819"/>
      <c r="AE13" s="819"/>
      <c r="AF13" s="819"/>
      <c r="AG13" s="819"/>
      <c r="AH13" s="819"/>
      <c r="AI13" s="819"/>
      <c r="AJ13" s="819"/>
      <c r="AK13" s="819"/>
      <c r="AL13" s="819"/>
      <c r="AM13" s="819"/>
      <c r="AN13" s="819"/>
      <c r="AO13" s="819"/>
      <c r="AP13" s="819"/>
      <c r="AQ13" s="819"/>
      <c r="AR13" s="819"/>
      <c r="AS13" s="819"/>
      <c r="AT13" s="819"/>
      <c r="AU13" s="819"/>
      <c r="AV13" s="819"/>
      <c r="AW13" s="819"/>
      <c r="AX13" s="819"/>
      <c r="AY13" s="819"/>
      <c r="AZ13" s="819"/>
      <c r="BB13" s="819"/>
      <c r="BC13" s="819"/>
    </row>
    <row r="14" spans="1:55" ht="14.1" customHeight="1" thickBot="1">
      <c r="A14" s="819"/>
      <c r="B14" s="819"/>
      <c r="C14" s="533"/>
      <c r="D14" s="533"/>
      <c r="E14" s="533"/>
      <c r="F14" s="533"/>
      <c r="G14" s="2088"/>
      <c r="H14" s="2088"/>
      <c r="I14" s="2058" t="s">
        <v>1435</v>
      </c>
      <c r="J14" s="2059"/>
      <c r="K14" s="2059"/>
      <c r="L14" s="2059"/>
      <c r="M14" s="2059"/>
      <c r="N14" s="2061">
        <f ca="1">'4) Fault Analysis'!G7</f>
        <v>0</v>
      </c>
      <c r="O14" s="2061"/>
      <c r="P14" s="2061"/>
      <c r="Q14" s="2062" t="s">
        <v>183</v>
      </c>
      <c r="R14" s="2063"/>
      <c r="S14" s="819"/>
      <c r="T14" s="2089"/>
      <c r="U14" s="2089"/>
      <c r="V14" s="2089"/>
      <c r="W14" s="2089"/>
      <c r="X14" s="2089"/>
      <c r="Y14" s="2089"/>
      <c r="Z14" s="2089"/>
      <c r="AA14" s="2089"/>
      <c r="AB14" s="2089"/>
      <c r="AC14" s="819"/>
      <c r="AE14" s="819"/>
      <c r="AF14" s="819"/>
      <c r="AG14" s="819"/>
      <c r="AH14" s="819"/>
      <c r="AI14" s="819"/>
      <c r="AJ14" s="819"/>
      <c r="AK14" s="819"/>
      <c r="AL14" s="819"/>
      <c r="AM14" s="819"/>
      <c r="AN14" s="819"/>
      <c r="AO14" s="819"/>
      <c r="AP14" s="819"/>
      <c r="AQ14" s="819"/>
      <c r="AR14" s="819"/>
      <c r="AS14" s="819"/>
      <c r="AT14" s="819"/>
      <c r="AU14" s="819"/>
      <c r="AV14" s="819"/>
      <c r="AW14" s="819"/>
      <c r="AX14" s="819"/>
      <c r="AY14" s="819"/>
      <c r="AZ14" s="819"/>
      <c r="BB14" s="819"/>
      <c r="BC14" s="819"/>
    </row>
    <row r="15" spans="1:55" ht="13.5" customHeight="1">
      <c r="A15" s="819"/>
      <c r="B15" s="819"/>
      <c r="C15" s="533"/>
      <c r="D15" s="533"/>
      <c r="E15" s="533"/>
      <c r="F15" s="533"/>
      <c r="G15" s="1405"/>
      <c r="H15" s="1405"/>
      <c r="I15" s="2058" t="s">
        <v>1452</v>
      </c>
      <c r="J15" s="2059"/>
      <c r="K15" s="2059"/>
      <c r="L15" s="2059"/>
      <c r="M15" s="2059"/>
      <c r="N15" s="2060">
        <f>'1) Data Entry'!E21</f>
        <v>0</v>
      </c>
      <c r="O15" s="2061"/>
      <c r="P15" s="2061"/>
      <c r="Q15" s="2062" t="s">
        <v>1437</v>
      </c>
      <c r="R15" s="2063"/>
      <c r="S15" s="819"/>
      <c r="T15" s="2129" t="s">
        <v>1438</v>
      </c>
      <c r="U15" s="2127"/>
      <c r="V15" s="2127" t="s">
        <v>1526</v>
      </c>
      <c r="W15" s="2127"/>
      <c r="X15" s="2127" t="s">
        <v>1527</v>
      </c>
      <c r="Y15" s="2127"/>
      <c r="Z15" s="2127" t="s">
        <v>1441</v>
      </c>
      <c r="AA15" s="2128"/>
      <c r="AB15" s="736"/>
      <c r="AG15" s="819"/>
      <c r="AH15" s="819"/>
      <c r="AI15" s="819"/>
      <c r="AJ15" s="819"/>
      <c r="AK15" s="819"/>
      <c r="AL15" s="819"/>
      <c r="AM15" s="819"/>
      <c r="AN15" s="819"/>
      <c r="AO15" s="819"/>
      <c r="AP15" s="819"/>
      <c r="AQ15" s="819"/>
      <c r="AR15" s="819"/>
      <c r="AS15" s="819"/>
      <c r="AT15" s="819"/>
      <c r="AU15" s="819"/>
      <c r="AV15" s="819"/>
      <c r="AW15" s="819"/>
      <c r="AX15" s="819"/>
      <c r="AY15" s="819"/>
      <c r="AZ15" s="819"/>
      <c r="BA15" s="819"/>
      <c r="BB15" s="819"/>
      <c r="BC15" s="819"/>
    </row>
    <row r="16" spans="1:55" ht="13.5" customHeight="1">
      <c r="A16" s="819"/>
      <c r="B16" s="819"/>
      <c r="C16" s="533"/>
      <c r="D16" s="533"/>
      <c r="E16" s="533"/>
      <c r="F16" s="533"/>
      <c r="G16" s="1405"/>
      <c r="H16" s="1405"/>
      <c r="I16" s="2058" t="s">
        <v>1442</v>
      </c>
      <c r="J16" s="2059"/>
      <c r="K16" s="2059"/>
      <c r="L16" s="2059"/>
      <c r="M16" s="2059"/>
      <c r="N16" s="2060">
        <f>SMALL(V16:AA17,COUNTIF(V16:AA17,0)+1)</f>
        <v>617</v>
      </c>
      <c r="O16" s="2061"/>
      <c r="P16" s="2061"/>
      <c r="Q16" s="2062" t="s">
        <v>1437</v>
      </c>
      <c r="R16" s="2063"/>
      <c r="S16" s="819"/>
      <c r="T16" s="2078" t="s">
        <v>1443</v>
      </c>
      <c r="U16" s="2079"/>
      <c r="V16" s="2051">
        <v>900</v>
      </c>
      <c r="W16" s="2082"/>
      <c r="X16" s="2051">
        <v>1200</v>
      </c>
      <c r="Y16" s="2082"/>
      <c r="Z16" s="2051">
        <v>0</v>
      </c>
      <c r="AA16" s="2052"/>
      <c r="AB16" s="736"/>
      <c r="AG16" s="819"/>
      <c r="AH16" s="819"/>
      <c r="AI16" s="819"/>
      <c r="AJ16" s="819"/>
      <c r="AK16" s="819"/>
      <c r="AL16" s="819"/>
      <c r="AM16" s="819"/>
      <c r="AN16" s="819"/>
      <c r="AO16" s="819"/>
      <c r="AP16" s="819"/>
      <c r="AQ16" s="819"/>
      <c r="AR16" s="819"/>
      <c r="AS16" s="819"/>
      <c r="AT16" s="819"/>
      <c r="AU16" s="819"/>
      <c r="AV16" s="819"/>
      <c r="AW16" s="819"/>
      <c r="AX16" s="819"/>
      <c r="AY16" s="819"/>
      <c r="AZ16" s="819"/>
      <c r="BA16" s="819"/>
      <c r="BB16" s="819"/>
      <c r="BC16" s="819"/>
    </row>
    <row r="17" spans="1:36" ht="13.5" customHeight="1" thickBot="1">
      <c r="A17" s="819"/>
      <c r="B17" s="819"/>
      <c r="C17" s="533"/>
      <c r="D17" s="533"/>
      <c r="E17" s="533"/>
      <c r="F17" s="533"/>
      <c r="G17" s="1405"/>
      <c r="H17" s="1405"/>
      <c r="I17" s="2064" t="s">
        <v>1444</v>
      </c>
      <c r="J17" s="2065"/>
      <c r="K17" s="2065"/>
      <c r="L17" s="2065"/>
      <c r="M17" s="2065"/>
      <c r="N17" s="2066">
        <f>SMALL(V18:AA18,COUNTIF(V18:AA18,0)+1)</f>
        <v>436</v>
      </c>
      <c r="O17" s="2067"/>
      <c r="P17" s="2067"/>
      <c r="Q17" s="2072" t="s">
        <v>1437</v>
      </c>
      <c r="R17" s="2073"/>
      <c r="S17" s="819"/>
      <c r="T17" s="2078" t="s">
        <v>1445</v>
      </c>
      <c r="U17" s="2079"/>
      <c r="V17" s="2051">
        <v>617</v>
      </c>
      <c r="W17" s="2082"/>
      <c r="X17" s="2051">
        <v>750</v>
      </c>
      <c r="Y17" s="2082"/>
      <c r="Z17" s="2051">
        <v>0</v>
      </c>
      <c r="AA17" s="2052"/>
      <c r="AB17" s="736"/>
      <c r="AG17" s="819"/>
      <c r="AH17" s="819"/>
      <c r="AI17" s="819"/>
      <c r="AJ17" s="819"/>
    </row>
    <row r="18" spans="1:36" ht="13.5" customHeight="1" thickBot="1">
      <c r="A18" s="819"/>
      <c r="B18" s="819"/>
      <c r="C18" s="819"/>
      <c r="D18" s="819"/>
      <c r="E18" s="819"/>
      <c r="F18" s="819"/>
      <c r="G18" s="819"/>
      <c r="H18" s="819"/>
      <c r="I18" s="819"/>
      <c r="J18" s="819"/>
      <c r="K18" s="819"/>
      <c r="L18" s="819"/>
      <c r="M18" s="819"/>
      <c r="N18" s="819"/>
      <c r="O18" s="819"/>
      <c r="P18" s="819"/>
      <c r="Q18" s="819"/>
      <c r="R18" s="819"/>
      <c r="S18" s="819"/>
      <c r="T18" s="2096" t="s">
        <v>1446</v>
      </c>
      <c r="U18" s="2097"/>
      <c r="V18" s="2101">
        <v>436</v>
      </c>
      <c r="W18" s="2100"/>
      <c r="X18" s="2101">
        <v>624</v>
      </c>
      <c r="Y18" s="2100"/>
      <c r="Z18" s="2101">
        <v>0</v>
      </c>
      <c r="AA18" s="2102"/>
      <c r="AB18" s="736"/>
      <c r="AG18" s="819"/>
      <c r="AH18" s="819"/>
      <c r="AI18" s="819"/>
      <c r="AJ18" s="819"/>
    </row>
    <row r="19" spans="1:36" ht="14.1" customHeight="1">
      <c r="A19" s="534"/>
      <c r="B19" s="534"/>
      <c r="C19" s="534"/>
      <c r="D19" s="534"/>
      <c r="E19" s="534"/>
      <c r="F19" s="534"/>
      <c r="G19" s="534"/>
      <c r="H19" s="534"/>
      <c r="I19" s="534"/>
      <c r="J19" s="534"/>
      <c r="K19" s="534"/>
      <c r="L19" s="534"/>
      <c r="M19" s="534"/>
      <c r="N19" s="534"/>
      <c r="P19" s="1328"/>
      <c r="Q19" s="535"/>
      <c r="R19" s="534"/>
      <c r="S19" s="534"/>
      <c r="T19" s="737"/>
      <c r="U19" s="738"/>
      <c r="V19" s="738"/>
      <c r="W19" s="738"/>
      <c r="X19" s="738"/>
      <c r="Y19" s="738"/>
      <c r="Z19" s="738"/>
      <c r="AA19" s="738"/>
      <c r="AB19" s="738"/>
    </row>
    <row r="20" spans="1:36" s="534" customFormat="1">
      <c r="A20" s="2053" t="s">
        <v>1447</v>
      </c>
      <c r="B20" s="2053"/>
      <c r="C20" s="2053"/>
      <c r="D20" s="2053"/>
      <c r="E20" s="2053"/>
      <c r="F20" s="2053"/>
      <c r="G20" s="2053"/>
      <c r="H20" s="536" t="s">
        <v>535</v>
      </c>
      <c r="I20" s="2054">
        <v>0.8</v>
      </c>
      <c r="J20" s="2054"/>
      <c r="K20" s="537" t="s">
        <v>536</v>
      </c>
      <c r="L20" s="2055">
        <f>N16</f>
        <v>617</v>
      </c>
      <c r="M20" s="2055"/>
      <c r="N20" s="1329" t="s">
        <v>537</v>
      </c>
      <c r="O20" s="2056">
        <f ca="1">$N$14</f>
        <v>0</v>
      </c>
      <c r="P20" s="2056"/>
      <c r="Q20" s="536" t="s">
        <v>365</v>
      </c>
      <c r="R20" s="2047" t="e">
        <f ca="1">I20*L20/O20</f>
        <v>#DIV/0!</v>
      </c>
      <c r="S20" s="2047"/>
      <c r="T20" s="739"/>
      <c r="U20" s="738"/>
      <c r="V20" s="740"/>
      <c r="W20" s="741"/>
      <c r="X20" s="741"/>
      <c r="Y20" s="738"/>
      <c r="Z20" s="738"/>
      <c r="AA20" s="738"/>
      <c r="AB20" s="738"/>
      <c r="AD20" s="599"/>
    </row>
    <row r="21" spans="1:36" s="534" customFormat="1" ht="13.8" thickBot="1">
      <c r="D21" s="539"/>
      <c r="E21" s="539"/>
      <c r="F21" s="538"/>
      <c r="G21" s="541"/>
      <c r="H21" s="539"/>
      <c r="I21" s="2050" t="s">
        <v>544</v>
      </c>
      <c r="J21" s="2050"/>
      <c r="K21" s="538"/>
      <c r="L21" s="2043" t="s">
        <v>1448</v>
      </c>
      <c r="M21" s="2043"/>
      <c r="N21" s="542"/>
      <c r="O21" s="2044" t="s">
        <v>545</v>
      </c>
      <c r="P21" s="2044"/>
      <c r="Q21" s="542"/>
      <c r="R21" s="541"/>
      <c r="S21" s="538"/>
      <c r="T21" s="541"/>
      <c r="U21" s="539"/>
      <c r="V21" s="2057" t="s">
        <v>1449</v>
      </c>
      <c r="W21" s="2057"/>
      <c r="X21" s="2057"/>
      <c r="Y21" s="2057"/>
      <c r="Z21" s="2057"/>
      <c r="AA21" s="2057"/>
      <c r="AB21" s="2057"/>
      <c r="AC21" s="2057"/>
      <c r="AD21" s="599" t="s">
        <v>1450</v>
      </c>
    </row>
    <row r="22" spans="1:36" s="534" customFormat="1" ht="13.8" thickBot="1">
      <c r="A22" s="539"/>
      <c r="B22" s="539"/>
      <c r="C22" s="538"/>
      <c r="D22" s="541"/>
      <c r="E22" s="539"/>
      <c r="F22" s="1404"/>
      <c r="G22" s="538"/>
      <c r="H22" s="542"/>
      <c r="I22" s="542"/>
      <c r="J22" s="542"/>
      <c r="K22" s="541"/>
      <c r="L22" s="542"/>
      <c r="M22" s="541"/>
      <c r="N22" s="538"/>
      <c r="O22" s="541"/>
      <c r="P22" s="539"/>
      <c r="Q22" s="540"/>
      <c r="R22" s="540"/>
      <c r="S22" s="543"/>
      <c r="V22" s="2090" t="s">
        <v>1451</v>
      </c>
      <c r="W22" s="2091"/>
      <c r="X22" s="2091"/>
      <c r="Y22" s="2091"/>
      <c r="Z22" s="2091"/>
      <c r="AA22" s="2091"/>
      <c r="AB22" s="2091"/>
      <c r="AC22" s="2092"/>
      <c r="AD22" s="599"/>
    </row>
    <row r="23" spans="1:36" s="534" customFormat="1">
      <c r="A23" s="2053" t="s">
        <v>1452</v>
      </c>
      <c r="B23" s="2053"/>
      <c r="C23" s="2053"/>
      <c r="D23" s="2053"/>
      <c r="E23" s="2053"/>
      <c r="F23" s="2053"/>
      <c r="G23" s="2053"/>
      <c r="H23" s="536" t="s">
        <v>535</v>
      </c>
      <c r="I23" s="2054">
        <v>1.25</v>
      </c>
      <c r="J23" s="2054"/>
      <c r="K23" s="537" t="s">
        <v>536</v>
      </c>
      <c r="L23" s="2055">
        <f>N15</f>
        <v>0</v>
      </c>
      <c r="M23" s="2055"/>
      <c r="N23" s="1329" t="s">
        <v>537</v>
      </c>
      <c r="O23" s="2056">
        <f ca="1">$N$14</f>
        <v>0</v>
      </c>
      <c r="P23" s="2056"/>
      <c r="Q23" s="536" t="s">
        <v>365</v>
      </c>
      <c r="R23" s="2047" t="e">
        <f ca="1">I23*L23/O23</f>
        <v>#DIV/0!</v>
      </c>
      <c r="S23" s="2047"/>
      <c r="T23" s="538"/>
      <c r="U23" s="538"/>
      <c r="V23" s="539"/>
      <c r="W23" s="540"/>
      <c r="X23" s="540"/>
      <c r="AD23" s="599" t="s">
        <v>1453</v>
      </c>
    </row>
    <row r="24" spans="1:36" s="534" customFormat="1">
      <c r="D24" s="539"/>
      <c r="E24" s="539"/>
      <c r="F24" s="538"/>
      <c r="G24" s="541"/>
      <c r="H24" s="539"/>
      <c r="I24" s="2050" t="s">
        <v>544</v>
      </c>
      <c r="J24" s="2050"/>
      <c r="K24" s="538"/>
      <c r="L24" s="2043" t="s">
        <v>549</v>
      </c>
      <c r="M24" s="2043"/>
      <c r="N24" s="542"/>
      <c r="O24" s="2044" t="s">
        <v>545</v>
      </c>
      <c r="P24" s="2044"/>
      <c r="Q24" s="542"/>
      <c r="R24" s="598"/>
      <c r="S24" s="538"/>
      <c r="T24" s="541"/>
      <c r="U24" s="539"/>
      <c r="V24" s="540"/>
      <c r="W24" s="540"/>
      <c r="X24" s="543"/>
      <c r="AD24" s="599"/>
    </row>
    <row r="25" spans="1:36" s="534" customFormat="1">
      <c r="A25" s="539"/>
      <c r="B25" s="539"/>
      <c r="C25" s="538"/>
      <c r="D25" s="541"/>
      <c r="E25" s="539"/>
      <c r="F25" s="1404"/>
      <c r="G25" s="538"/>
      <c r="H25" s="542"/>
      <c r="I25" s="542"/>
      <c r="J25" s="542"/>
      <c r="K25" s="541"/>
      <c r="L25" s="542"/>
      <c r="M25" s="541"/>
      <c r="N25" s="538"/>
      <c r="O25" s="541"/>
      <c r="P25" s="539"/>
      <c r="Q25" s="540"/>
      <c r="R25" s="540"/>
      <c r="S25" s="543"/>
      <c r="AD25" s="599"/>
    </row>
    <row r="26" spans="1:36" s="534" customFormat="1">
      <c r="A26" s="819"/>
      <c r="B26" s="819"/>
      <c r="C26" s="819"/>
      <c r="D26" s="819"/>
      <c r="E26" s="819"/>
      <c r="F26" s="819"/>
      <c r="G26" s="819"/>
      <c r="H26" s="819"/>
      <c r="I26" s="819"/>
      <c r="J26" s="539"/>
      <c r="K26" s="819"/>
      <c r="L26" s="819"/>
      <c r="M26" s="544"/>
      <c r="N26" s="545"/>
      <c r="O26" s="2048" t="e">
        <f ca="1">MAX(MIN(R20,R23),0.5)</f>
        <v>#DIV/0!</v>
      </c>
      <c r="P26" s="2049"/>
      <c r="Q26" s="539" t="s">
        <v>632</v>
      </c>
      <c r="R26" s="819"/>
      <c r="S26" s="2032" t="s">
        <v>1454</v>
      </c>
      <c r="T26" s="2032"/>
      <c r="U26" s="2032"/>
      <c r="V26" s="2032"/>
      <c r="W26" s="2032"/>
      <c r="X26" s="2032"/>
      <c r="Y26" s="2032"/>
      <c r="Z26" s="1330" t="s">
        <v>365</v>
      </c>
      <c r="AA26" s="2045" t="e">
        <f ca="1">ROUND(IF(O27="",O26,O27),1)</f>
        <v>#DIV/0!</v>
      </c>
      <c r="AB26" s="2046"/>
      <c r="AD26" s="599" t="s">
        <v>1455</v>
      </c>
    </row>
    <row r="27" spans="1:36" ht="14.1" customHeight="1">
      <c r="A27" s="819"/>
      <c r="B27" s="819"/>
      <c r="C27" s="819"/>
      <c r="D27" s="819"/>
      <c r="E27" s="819"/>
      <c r="F27" s="819"/>
      <c r="G27" s="819"/>
      <c r="H27" s="819"/>
      <c r="I27" s="819"/>
      <c r="J27" s="819"/>
      <c r="K27" s="819"/>
      <c r="L27" s="819"/>
      <c r="M27" s="546" t="s">
        <v>573</v>
      </c>
      <c r="N27" s="547" t="s">
        <v>378</v>
      </c>
      <c r="O27" s="2036"/>
      <c r="P27" s="2036"/>
      <c r="Q27" s="819"/>
      <c r="R27" s="819"/>
      <c r="S27" s="819"/>
      <c r="T27" s="819"/>
      <c r="U27" s="2031" t="e">
        <f ca="1">IF(MIN(R20,R23)&lt;0.5,"Note:  Min fault current is below 0.5 A sec.","")</f>
        <v>#DIV/0!</v>
      </c>
      <c r="V27" s="2031"/>
      <c r="W27" s="2031"/>
      <c r="X27" s="2031"/>
      <c r="Y27" s="2031"/>
      <c r="Z27" s="2031"/>
      <c r="AA27" s="2031"/>
      <c r="AB27" s="2031"/>
      <c r="AC27" s="819"/>
      <c r="AE27" s="819"/>
      <c r="AF27" s="819"/>
      <c r="AG27" s="819"/>
      <c r="AH27" s="819"/>
      <c r="AI27" s="819"/>
      <c r="AJ27" s="819"/>
    </row>
    <row r="28" spans="1:36" ht="14.1" customHeight="1">
      <c r="A28" s="534"/>
      <c r="B28" s="534"/>
      <c r="C28" s="534"/>
      <c r="D28" s="534"/>
      <c r="E28" s="534"/>
      <c r="F28" s="534"/>
      <c r="G28" s="534"/>
      <c r="H28" s="534"/>
      <c r="I28" s="534"/>
      <c r="J28" s="534"/>
      <c r="K28" s="534"/>
      <c r="L28" s="534"/>
      <c r="M28" s="534"/>
      <c r="N28" s="534"/>
      <c r="P28" s="1328"/>
      <c r="Q28" s="535"/>
      <c r="R28" s="534"/>
      <c r="S28" s="534"/>
      <c r="T28" s="534"/>
      <c r="U28" s="534"/>
      <c r="V28" s="534"/>
      <c r="W28" s="534"/>
      <c r="X28" s="534"/>
      <c r="Y28" s="534"/>
      <c r="Z28" s="534"/>
      <c r="AA28" s="534"/>
      <c r="AB28" s="534"/>
      <c r="AC28" s="819"/>
      <c r="AE28" s="819"/>
      <c r="AF28" s="819"/>
      <c r="AG28" s="819"/>
      <c r="AH28" s="819"/>
      <c r="AI28" s="819"/>
      <c r="AJ28" s="819"/>
    </row>
    <row r="29" spans="1:36" s="534" customFormat="1" ht="15.6">
      <c r="A29" s="2053" t="s">
        <v>1456</v>
      </c>
      <c r="B29" s="2053"/>
      <c r="C29" s="2053"/>
      <c r="D29" s="2053"/>
      <c r="E29" s="2053"/>
      <c r="F29" s="2053"/>
      <c r="G29" s="2053"/>
      <c r="H29" s="536" t="s">
        <v>535</v>
      </c>
      <c r="I29" s="2054">
        <v>0.8</v>
      </c>
      <c r="J29" s="2054"/>
      <c r="K29" s="537" t="s">
        <v>536</v>
      </c>
      <c r="L29" s="2055">
        <f>N17</f>
        <v>436</v>
      </c>
      <c r="M29" s="2055"/>
      <c r="N29" s="1329" t="s">
        <v>537</v>
      </c>
      <c r="O29" s="2056">
        <f ca="1">$N$14</f>
        <v>0</v>
      </c>
      <c r="P29" s="2056"/>
      <c r="Q29" s="536" t="s">
        <v>365</v>
      </c>
      <c r="R29" s="2047" t="e">
        <f ca="1">I29*L29/O29</f>
        <v>#DIV/0!</v>
      </c>
      <c r="S29" s="2047"/>
      <c r="T29" s="538"/>
      <c r="U29" s="538"/>
      <c r="V29" s="539"/>
      <c r="W29" s="540"/>
      <c r="X29" s="540"/>
      <c r="AD29" s="599" t="s">
        <v>1457</v>
      </c>
      <c r="AG29" s="617" t="s">
        <v>1458</v>
      </c>
    </row>
    <row r="30" spans="1:36" s="534" customFormat="1">
      <c r="D30" s="539"/>
      <c r="E30" s="539"/>
      <c r="F30" s="538"/>
      <c r="G30" s="541"/>
      <c r="H30" s="539"/>
      <c r="I30" s="2050" t="s">
        <v>544</v>
      </c>
      <c r="J30" s="2050"/>
      <c r="K30" s="538"/>
      <c r="L30" s="2043" t="s">
        <v>1459</v>
      </c>
      <c r="M30" s="2043"/>
      <c r="N30" s="542"/>
      <c r="O30" s="2044" t="s">
        <v>545</v>
      </c>
      <c r="P30" s="2044"/>
      <c r="Q30" s="542"/>
      <c r="R30" s="541"/>
      <c r="S30" s="538"/>
      <c r="T30" s="541"/>
      <c r="U30" s="539"/>
      <c r="V30" s="540"/>
      <c r="W30" s="540"/>
      <c r="X30" s="543"/>
      <c r="AD30" s="599"/>
    </row>
    <row r="31" spans="1:36" s="534" customFormat="1">
      <c r="A31" s="539"/>
      <c r="B31" s="539"/>
      <c r="C31" s="538"/>
      <c r="D31" s="541"/>
      <c r="E31" s="539"/>
      <c r="F31" s="1404"/>
      <c r="G31" s="538"/>
      <c r="H31" s="542"/>
      <c r="I31" s="542"/>
      <c r="J31" s="542"/>
      <c r="K31" s="541"/>
      <c r="L31" s="542"/>
      <c r="M31" s="541"/>
      <c r="N31" s="538"/>
      <c r="O31" s="541"/>
      <c r="P31" s="539"/>
      <c r="Q31" s="540"/>
      <c r="R31" s="540"/>
      <c r="S31" s="543"/>
      <c r="AD31" s="599"/>
    </row>
    <row r="32" spans="1:36" s="534" customFormat="1">
      <c r="A32" s="819"/>
      <c r="B32" s="819"/>
      <c r="C32" s="819"/>
      <c r="D32" s="819"/>
      <c r="E32" s="819"/>
      <c r="F32" s="819"/>
      <c r="G32" s="819"/>
      <c r="H32" s="819"/>
      <c r="I32" s="819"/>
      <c r="J32" s="819"/>
      <c r="K32" s="819"/>
      <c r="L32" s="819"/>
      <c r="M32" s="544"/>
      <c r="N32" s="545"/>
      <c r="O32" s="2048" t="e">
        <f ca="1">MAX(MIN(R29,1),0.5)</f>
        <v>#DIV/0!</v>
      </c>
      <c r="P32" s="2049"/>
      <c r="Q32" s="539" t="s">
        <v>632</v>
      </c>
      <c r="R32" s="819"/>
      <c r="S32" s="2032" t="s">
        <v>1460</v>
      </c>
      <c r="T32" s="2032"/>
      <c r="U32" s="2032"/>
      <c r="V32" s="2032"/>
      <c r="W32" s="2032"/>
      <c r="X32" s="2032"/>
      <c r="Y32" s="2032"/>
      <c r="Z32" s="1330" t="s">
        <v>365</v>
      </c>
      <c r="AA32" s="2045" t="e">
        <f ca="1">ROUND(IF(O33="",O32,O33),1)</f>
        <v>#DIV/0!</v>
      </c>
      <c r="AB32" s="2046"/>
      <c r="AD32" s="599" t="s">
        <v>1461</v>
      </c>
    </row>
    <row r="33" spans="1:56" ht="14.1" customHeight="1">
      <c r="A33" s="819"/>
      <c r="B33" s="819"/>
      <c r="C33" s="819"/>
      <c r="D33" s="819"/>
      <c r="E33" s="819"/>
      <c r="F33" s="819"/>
      <c r="G33" s="819"/>
      <c r="H33" s="819"/>
      <c r="I33" s="819"/>
      <c r="J33" s="819"/>
      <c r="K33" s="819"/>
      <c r="L33" s="819"/>
      <c r="M33" s="546" t="s">
        <v>573</v>
      </c>
      <c r="N33" s="547" t="s">
        <v>378</v>
      </c>
      <c r="O33" s="2036"/>
      <c r="P33" s="2036"/>
      <c r="Q33" s="819"/>
      <c r="R33" s="819"/>
      <c r="S33" s="819"/>
      <c r="T33" s="819"/>
      <c r="U33" s="2031" t="e">
        <f ca="1">IF(R29&lt;0.5,"Note:  Min fault current is below 0.5 A sec.","")</f>
        <v>#DIV/0!</v>
      </c>
      <c r="V33" s="2031"/>
      <c r="W33" s="2031"/>
      <c r="X33" s="2031"/>
      <c r="Y33" s="2031"/>
      <c r="Z33" s="2031"/>
      <c r="AA33" s="2031"/>
      <c r="AB33" s="2031"/>
      <c r="AC33" s="819"/>
      <c r="AE33" s="819"/>
      <c r="AF33" s="819"/>
      <c r="AG33" s="819"/>
      <c r="AH33" s="819"/>
      <c r="AI33" s="819"/>
      <c r="AJ33" s="819"/>
      <c r="AK33" s="819"/>
      <c r="AL33" s="819"/>
      <c r="AM33" s="819"/>
      <c r="AN33" s="819"/>
      <c r="AO33" s="819"/>
      <c r="AP33" s="819"/>
      <c r="AQ33" s="819"/>
      <c r="AR33" s="819"/>
      <c r="AS33" s="819"/>
      <c r="AT33" s="819"/>
      <c r="AU33" s="819"/>
      <c r="AV33" s="819"/>
      <c r="AW33" s="819"/>
      <c r="AX33" s="819"/>
      <c r="AY33" s="819"/>
      <c r="AZ33" s="819"/>
      <c r="BA33" s="819"/>
      <c r="BB33" s="819"/>
      <c r="BC33" s="819"/>
      <c r="BD33" s="819"/>
    </row>
    <row r="34" spans="1:56" ht="14.1" customHeight="1">
      <c r="A34" s="819"/>
      <c r="B34" s="819"/>
      <c r="C34" s="819"/>
      <c r="D34" s="819"/>
      <c r="E34" s="2039" t="s">
        <v>1462</v>
      </c>
      <c r="F34" s="2039"/>
      <c r="G34" s="2039"/>
      <c r="H34" s="2039"/>
      <c r="I34" s="2039"/>
      <c r="J34" s="2039"/>
      <c r="K34" s="2039"/>
      <c r="L34" s="2039"/>
      <c r="M34" s="2039"/>
      <c r="N34" s="2039"/>
      <c r="O34" s="2039"/>
      <c r="P34" s="819"/>
      <c r="U34" s="819"/>
      <c r="V34" s="819"/>
      <c r="W34" s="819"/>
      <c r="X34" s="819"/>
      <c r="Y34" s="819"/>
      <c r="Z34" s="819"/>
      <c r="AA34" s="819"/>
      <c r="AB34" s="819"/>
      <c r="AC34" s="819"/>
      <c r="AE34" s="819"/>
      <c r="AF34" s="819"/>
      <c r="AG34" s="819"/>
      <c r="AH34" s="819"/>
      <c r="AI34" s="819"/>
      <c r="AJ34" s="819"/>
      <c r="AK34" s="819"/>
      <c r="AL34" s="819"/>
      <c r="AM34" s="819"/>
      <c r="AN34" s="819"/>
      <c r="AO34" s="819"/>
      <c r="AP34" s="819"/>
      <c r="AQ34" s="819"/>
      <c r="AR34" s="819"/>
      <c r="AS34" s="819"/>
      <c r="AT34" s="819"/>
      <c r="AU34" s="819"/>
      <c r="AV34" s="819"/>
      <c r="AW34" s="819"/>
      <c r="AX34" s="819"/>
      <c r="AY34" s="819"/>
      <c r="AZ34" s="819"/>
      <c r="BA34" s="819"/>
      <c r="BB34" s="819"/>
      <c r="BC34" s="819"/>
      <c r="BD34" s="819"/>
    </row>
    <row r="35" spans="1:56" ht="14.1" customHeight="1">
      <c r="A35" s="819"/>
      <c r="B35" s="819"/>
      <c r="C35" s="819"/>
      <c r="D35" s="819"/>
      <c r="E35" s="2039"/>
      <c r="F35" s="2039"/>
      <c r="G35" s="2039"/>
      <c r="H35" s="2039"/>
      <c r="I35" s="2039"/>
      <c r="J35" s="2039"/>
      <c r="K35" s="2039"/>
      <c r="L35" s="2039"/>
      <c r="M35" s="2039"/>
      <c r="N35" s="2039"/>
      <c r="O35" s="2039"/>
      <c r="P35" s="2032" t="s">
        <v>1463</v>
      </c>
      <c r="Q35" s="2032"/>
      <c r="R35" s="2032"/>
      <c r="S35" s="2032"/>
      <c r="T35" s="2032"/>
      <c r="U35" s="2032"/>
      <c r="V35" s="2032"/>
      <c r="W35" s="2032"/>
      <c r="X35" s="2032"/>
      <c r="Y35" s="2032"/>
      <c r="Z35" s="1330" t="s">
        <v>365</v>
      </c>
      <c r="AA35" s="2033">
        <f>IF(N13&gt;=230,8,10)</f>
        <v>10</v>
      </c>
      <c r="AB35" s="2034"/>
      <c r="AC35" s="819"/>
      <c r="AD35" s="599" t="s">
        <v>1464</v>
      </c>
      <c r="AE35" s="819"/>
      <c r="AF35" s="819"/>
      <c r="AG35" s="819"/>
      <c r="AH35" s="819"/>
      <c r="AI35" s="819"/>
      <c r="AJ35" s="819"/>
      <c r="AK35" s="819"/>
      <c r="AL35" s="819"/>
      <c r="AM35" s="819"/>
      <c r="AN35" s="819"/>
      <c r="AO35" s="819"/>
      <c r="AP35" s="819"/>
      <c r="AQ35" s="819"/>
      <c r="AR35" s="819"/>
      <c r="AS35" s="819"/>
      <c r="AT35" s="819"/>
      <c r="AU35" s="819"/>
      <c r="AV35" s="819"/>
      <c r="AW35" s="819"/>
      <c r="AX35" s="819"/>
      <c r="AY35" s="819"/>
      <c r="AZ35" s="819"/>
      <c r="BA35" s="819"/>
      <c r="BB35" s="819"/>
      <c r="BC35" s="819"/>
    </row>
    <row r="36" spans="1:56" ht="14.1" customHeight="1">
      <c r="A36" s="819"/>
      <c r="B36" s="819"/>
      <c r="C36" s="819"/>
      <c r="D36" s="819"/>
      <c r="E36" s="2039"/>
      <c r="F36" s="2039"/>
      <c r="G36" s="2039"/>
      <c r="H36" s="2039"/>
      <c r="I36" s="2039"/>
      <c r="J36" s="2039"/>
      <c r="K36" s="2039"/>
      <c r="L36" s="2039"/>
      <c r="M36" s="2039"/>
      <c r="N36" s="2039"/>
      <c r="O36" s="2039"/>
      <c r="P36" s="819"/>
      <c r="U36" s="819"/>
      <c r="V36" s="819"/>
      <c r="W36" s="819"/>
      <c r="X36" s="819"/>
      <c r="Y36" s="819"/>
      <c r="Z36" s="819"/>
      <c r="AA36" s="819"/>
      <c r="AB36" s="819"/>
      <c r="AC36" s="819"/>
      <c r="AE36" s="819"/>
      <c r="AF36" s="819"/>
      <c r="AG36" s="819"/>
      <c r="AH36" s="819"/>
      <c r="AI36" s="819"/>
      <c r="AJ36" s="819"/>
      <c r="AK36" s="819"/>
      <c r="AL36" s="819"/>
      <c r="AM36" s="819"/>
      <c r="AN36" s="819"/>
      <c r="AO36" s="819"/>
      <c r="AP36" s="819"/>
      <c r="AQ36" s="819"/>
      <c r="AR36" s="819"/>
      <c r="AS36" s="819"/>
      <c r="AT36" s="819"/>
      <c r="AU36" s="819"/>
      <c r="AV36" s="819"/>
      <c r="AW36" s="819"/>
      <c r="AX36" s="819"/>
      <c r="AY36" s="819"/>
      <c r="AZ36" s="819"/>
      <c r="BA36" s="819"/>
      <c r="BB36" s="819"/>
      <c r="BC36" s="819"/>
    </row>
    <row r="37" spans="1:56" ht="14.1" customHeight="1">
      <c r="A37" s="819"/>
      <c r="B37" s="819"/>
      <c r="C37" s="819"/>
      <c r="D37" s="819"/>
      <c r="E37" s="788" t="s">
        <v>1465</v>
      </c>
      <c r="F37" s="2040" t="s">
        <v>1466</v>
      </c>
      <c r="G37" s="2041"/>
      <c r="H37" s="2041"/>
      <c r="I37" s="2041"/>
      <c r="J37" s="2041"/>
      <c r="K37" s="2041"/>
      <c r="L37" s="2041"/>
      <c r="M37" s="2041"/>
      <c r="N37" s="2042"/>
      <c r="T37" s="788" t="s">
        <v>1467</v>
      </c>
      <c r="U37" s="2040" t="s">
        <v>1468</v>
      </c>
      <c r="V37" s="2041"/>
      <c r="W37" s="2041"/>
      <c r="X37" s="2041"/>
      <c r="Y37" s="2041"/>
      <c r="Z37" s="2041"/>
      <c r="AA37" s="2041"/>
      <c r="AB37" s="2041"/>
      <c r="AC37" s="2042"/>
      <c r="AE37" s="819"/>
      <c r="AF37" s="819"/>
      <c r="AG37" s="819"/>
      <c r="AH37" s="819"/>
      <c r="AI37" s="819"/>
      <c r="AJ37" s="819"/>
      <c r="AK37" s="819"/>
      <c r="AL37" s="819"/>
      <c r="AM37" s="819"/>
      <c r="AN37" s="819"/>
      <c r="AO37" s="819"/>
      <c r="AP37" s="819"/>
      <c r="AQ37" s="819"/>
      <c r="AR37" s="819"/>
      <c r="AS37" s="819"/>
      <c r="AT37" s="819"/>
      <c r="AU37" s="819"/>
      <c r="AV37" s="819"/>
      <c r="AW37" s="819"/>
      <c r="AX37" s="819"/>
      <c r="AY37" s="819"/>
      <c r="AZ37" s="819"/>
      <c r="BA37" s="819"/>
      <c r="BB37" s="819"/>
      <c r="BC37" s="819"/>
    </row>
    <row r="38" spans="1:56" ht="14.1" customHeight="1">
      <c r="A38" s="819"/>
      <c r="B38" s="819"/>
      <c r="C38" s="819"/>
      <c r="D38" s="819"/>
      <c r="E38" s="788" t="s">
        <v>1469</v>
      </c>
      <c r="F38" s="2040" t="s">
        <v>340</v>
      </c>
      <c r="G38" s="2041"/>
      <c r="H38" s="2041"/>
      <c r="I38" s="2041"/>
      <c r="J38" s="2041"/>
      <c r="K38" s="2041"/>
      <c r="L38" s="2041"/>
      <c r="M38" s="2041"/>
      <c r="N38" s="2042"/>
      <c r="T38" s="788" t="s">
        <v>1469</v>
      </c>
      <c r="U38" s="2040" t="s">
        <v>340</v>
      </c>
      <c r="V38" s="2041"/>
      <c r="W38" s="2041"/>
      <c r="X38" s="2041"/>
      <c r="Y38" s="2041"/>
      <c r="Z38" s="2041"/>
      <c r="AA38" s="2041"/>
      <c r="AB38" s="2041"/>
      <c r="AC38" s="2042"/>
      <c r="AE38" s="819"/>
      <c r="AF38" s="819"/>
      <c r="AG38" s="819"/>
      <c r="AH38" s="819"/>
      <c r="AI38" s="819"/>
      <c r="AJ38" s="819"/>
      <c r="AK38" s="819"/>
      <c r="AL38" s="819"/>
      <c r="AM38" s="819"/>
      <c r="AN38" s="819"/>
      <c r="AO38" s="819"/>
      <c r="AP38" s="819"/>
      <c r="AQ38" s="819"/>
      <c r="AR38" s="819"/>
      <c r="AS38" s="819"/>
      <c r="AT38" s="819"/>
      <c r="AU38" s="819"/>
      <c r="AV38" s="819"/>
      <c r="AW38" s="819"/>
      <c r="AX38" s="819"/>
      <c r="AY38" s="819"/>
      <c r="AZ38" s="819"/>
      <c r="BA38" s="819"/>
      <c r="BB38" s="819"/>
      <c r="BC38" s="819"/>
    </row>
    <row r="39" spans="1:56" ht="14.1" customHeight="1">
      <c r="A39" s="819"/>
      <c r="B39" s="819"/>
      <c r="C39" s="819"/>
      <c r="D39" s="819"/>
      <c r="E39" s="819"/>
      <c r="F39" s="819"/>
      <c r="N39" s="547"/>
      <c r="Q39" s="819"/>
      <c r="R39" s="819"/>
      <c r="S39" s="819"/>
      <c r="T39" s="819"/>
      <c r="AC39" s="819"/>
      <c r="AE39" s="819"/>
      <c r="AF39" s="819"/>
      <c r="AG39" s="819"/>
      <c r="AH39" s="819"/>
      <c r="AI39" s="819"/>
      <c r="AJ39" s="819"/>
      <c r="AK39" s="819"/>
      <c r="AL39" s="819"/>
      <c r="AM39" s="819"/>
      <c r="AN39" s="819"/>
      <c r="AO39" s="819"/>
      <c r="AP39" s="819"/>
      <c r="AQ39" s="819"/>
      <c r="AR39" s="819"/>
      <c r="AS39" s="819"/>
      <c r="AT39" s="819"/>
      <c r="AU39" s="819"/>
      <c r="AV39" s="819"/>
      <c r="AW39" s="819"/>
      <c r="AX39" s="819"/>
      <c r="AY39" s="819"/>
      <c r="AZ39" s="819"/>
      <c r="BA39" s="819"/>
      <c r="BB39" s="819"/>
      <c r="BC39" s="819"/>
    </row>
    <row r="40" spans="1:56" ht="14.1" customHeight="1">
      <c r="A40" s="2037" t="s">
        <v>1470</v>
      </c>
      <c r="B40" s="2037"/>
      <c r="C40" s="2037"/>
      <c r="D40" s="2037"/>
      <c r="E40" s="2037"/>
      <c r="F40" s="2037"/>
      <c r="G40" s="2037"/>
      <c r="H40" s="2037"/>
      <c r="I40" s="2037"/>
      <c r="J40" s="2037"/>
      <c r="K40" s="2037"/>
      <c r="L40" s="2037"/>
      <c r="M40" s="2037"/>
      <c r="N40" s="2037"/>
      <c r="O40" s="2037"/>
      <c r="P40" s="2037"/>
      <c r="Q40" s="1325"/>
      <c r="R40" s="1325"/>
      <c r="S40" s="1325"/>
      <c r="T40" s="1325"/>
      <c r="U40" s="1325"/>
      <c r="V40" s="1325"/>
      <c r="W40" s="1325"/>
      <c r="X40" s="1325"/>
      <c r="Y40" s="1325"/>
      <c r="Z40" s="1325"/>
      <c r="AA40" s="1325"/>
      <c r="AB40" s="1325"/>
      <c r="AC40" s="819"/>
      <c r="AE40" s="819"/>
      <c r="AF40" s="819"/>
      <c r="AG40" s="819"/>
      <c r="AH40" s="819"/>
      <c r="AI40" s="819"/>
      <c r="AJ40" s="819"/>
      <c r="AK40" s="819"/>
      <c r="AL40" s="819"/>
      <c r="AM40" s="819"/>
      <c r="AN40" s="819"/>
      <c r="AO40" s="819"/>
      <c r="AP40" s="819"/>
      <c r="AQ40" s="819"/>
      <c r="AR40" s="819"/>
      <c r="AS40" s="819"/>
      <c r="AT40" s="819"/>
      <c r="AU40" s="819"/>
      <c r="AV40" s="819"/>
      <c r="AW40" s="819"/>
      <c r="AX40" s="819"/>
      <c r="AY40" s="819"/>
      <c r="AZ40" s="819"/>
      <c r="BA40" s="819"/>
      <c r="BB40" s="819"/>
      <c r="BC40" s="819"/>
      <c r="BD40" s="819"/>
    </row>
    <row r="41" spans="1:56" ht="17.100000000000001" customHeight="1">
      <c r="A41" s="796" t="s">
        <v>1471</v>
      </c>
      <c r="B41" s="819"/>
      <c r="C41" s="819"/>
      <c r="D41" s="819"/>
      <c r="E41" s="819"/>
      <c r="F41" s="819"/>
      <c r="G41" s="819"/>
      <c r="H41" s="819"/>
      <c r="I41" s="819"/>
      <c r="J41" s="819"/>
      <c r="K41" s="819"/>
      <c r="L41" s="819"/>
      <c r="M41" s="819"/>
      <c r="N41" s="819"/>
      <c r="O41" s="819"/>
      <c r="P41" s="819"/>
      <c r="Q41" s="819"/>
      <c r="R41" s="819"/>
      <c r="S41" s="819"/>
      <c r="T41" s="819"/>
      <c r="U41" s="819"/>
      <c r="V41" s="819"/>
      <c r="W41" s="819"/>
      <c r="X41" s="819"/>
      <c r="Y41" s="819"/>
      <c r="Z41" s="819"/>
      <c r="AA41" s="819"/>
      <c r="AB41" s="819"/>
      <c r="AE41" s="819"/>
      <c r="AF41" s="819"/>
      <c r="AG41" s="819"/>
      <c r="AH41" s="819"/>
      <c r="AI41" s="819"/>
      <c r="AJ41" s="819"/>
      <c r="AK41" s="819"/>
      <c r="AL41" s="819"/>
      <c r="AM41" s="819"/>
      <c r="AN41" s="819"/>
      <c r="AO41" s="819"/>
      <c r="AP41" s="819"/>
      <c r="AQ41" s="819"/>
      <c r="AR41" s="819"/>
      <c r="AS41" s="819"/>
      <c r="AT41" s="819"/>
      <c r="AU41" s="819"/>
      <c r="AV41" s="819"/>
      <c r="AW41" s="819"/>
      <c r="AX41" s="819"/>
      <c r="AY41" s="819"/>
      <c r="AZ41" s="819"/>
      <c r="BB41" s="819"/>
      <c r="BC41" s="819"/>
      <c r="BD41" s="819"/>
    </row>
    <row r="42" spans="1:56" ht="14.1" customHeight="1">
      <c r="A42" s="819"/>
      <c r="B42" s="819"/>
      <c r="C42" s="1406"/>
      <c r="D42" s="1406"/>
      <c r="E42" s="1406"/>
      <c r="F42" s="1406"/>
      <c r="G42" s="1406"/>
      <c r="H42" s="1406"/>
      <c r="I42" s="1406"/>
      <c r="J42" s="1406"/>
      <c r="K42" s="1406"/>
      <c r="L42" s="1406"/>
      <c r="M42" s="1406"/>
      <c r="N42" s="1406"/>
      <c r="O42" s="1406"/>
      <c r="P42" s="1406"/>
      <c r="Q42" s="1406"/>
      <c r="R42" s="1406"/>
      <c r="S42" s="1406"/>
      <c r="T42" s="1406"/>
      <c r="U42" s="1406"/>
      <c r="V42" s="1406"/>
      <c r="W42" s="1406"/>
      <c r="X42" s="1406"/>
      <c r="Y42" s="1406"/>
      <c r="Z42" s="1406"/>
      <c r="AA42" s="1406"/>
      <c r="AB42" s="1406"/>
      <c r="AE42" s="819"/>
      <c r="AF42" s="819"/>
      <c r="AG42" s="819"/>
      <c r="AH42" s="819"/>
      <c r="AI42" s="819"/>
      <c r="AJ42" s="819"/>
      <c r="AK42" s="819"/>
      <c r="AL42" s="819"/>
      <c r="AM42" s="819"/>
      <c r="AN42" s="819"/>
      <c r="AO42" s="819"/>
      <c r="AP42" s="819"/>
      <c r="AQ42" s="819"/>
      <c r="AR42" s="819"/>
      <c r="AS42" s="819"/>
      <c r="AT42" s="819"/>
      <c r="AU42" s="819"/>
      <c r="AV42" s="819"/>
      <c r="AW42" s="819"/>
      <c r="AX42" s="819"/>
      <c r="AY42" s="819"/>
      <c r="AZ42" s="819"/>
      <c r="BB42" s="819"/>
      <c r="BC42" s="819"/>
      <c r="BD42" s="819"/>
    </row>
    <row r="43" spans="1:56" ht="14.1" customHeight="1">
      <c r="A43" s="2021" t="s">
        <v>1472</v>
      </c>
      <c r="B43" s="2021"/>
      <c r="C43" s="2021"/>
      <c r="D43" s="2021"/>
      <c r="E43" s="2021"/>
      <c r="F43" s="2021"/>
      <c r="G43" s="2021"/>
      <c r="H43" s="2021"/>
      <c r="I43" s="2021"/>
      <c r="J43" s="2021"/>
      <c r="K43" s="2021"/>
      <c r="L43" s="2021"/>
      <c r="M43" s="2021"/>
      <c r="N43" s="2021"/>
      <c r="O43" s="2021"/>
      <c r="P43" s="2021"/>
      <c r="Q43" s="2021"/>
      <c r="R43" s="2021"/>
      <c r="S43" s="2021"/>
      <c r="U43" s="819"/>
      <c r="V43" s="819"/>
      <c r="W43" s="819"/>
      <c r="X43" s="819"/>
      <c r="Y43" s="819"/>
      <c r="Z43" s="819"/>
      <c r="AA43" s="819"/>
      <c r="AB43" s="819"/>
      <c r="AC43" s="819"/>
      <c r="AE43" s="819"/>
      <c r="AF43" s="819"/>
      <c r="AG43" s="819"/>
      <c r="AH43" s="819"/>
      <c r="AI43" s="819"/>
      <c r="AJ43" s="819"/>
      <c r="AK43" s="819"/>
      <c r="AL43" s="819"/>
      <c r="AM43" s="819"/>
      <c r="AN43" s="819"/>
      <c r="AO43" s="819"/>
      <c r="AP43" s="819"/>
      <c r="AQ43" s="819"/>
      <c r="AR43" s="819"/>
      <c r="AS43" s="819"/>
      <c r="AT43" s="819"/>
      <c r="AU43" s="819"/>
      <c r="AV43" s="819"/>
      <c r="AW43" s="819"/>
      <c r="AX43" s="819"/>
      <c r="AY43" s="819"/>
      <c r="AZ43" s="819"/>
      <c r="BB43" s="819"/>
      <c r="BC43" s="819"/>
      <c r="BD43" s="819"/>
    </row>
    <row r="44" spans="1:56" ht="14.1" customHeight="1">
      <c r="A44" s="1403"/>
      <c r="B44" s="1403"/>
      <c r="C44" s="1403"/>
      <c r="D44" s="1403"/>
      <c r="AB44" s="819"/>
      <c r="AC44" s="819"/>
      <c r="AE44" s="819"/>
      <c r="AF44" s="819"/>
      <c r="AG44" s="819"/>
      <c r="AH44" s="819"/>
      <c r="AI44" s="819"/>
      <c r="AJ44" s="819"/>
      <c r="AK44" s="819"/>
      <c r="AL44" s="819"/>
      <c r="AM44" s="819"/>
      <c r="AN44" s="819"/>
      <c r="AO44" s="819"/>
      <c r="AP44" s="819"/>
      <c r="AQ44" s="819"/>
      <c r="AR44" s="819"/>
      <c r="AS44" s="819"/>
      <c r="AT44" s="819"/>
      <c r="AU44" s="819"/>
      <c r="AV44" s="819"/>
      <c r="AW44" s="819"/>
      <c r="AX44" s="819"/>
      <c r="AY44" s="819"/>
      <c r="AZ44" s="819"/>
      <c r="BB44" s="819"/>
      <c r="BC44" s="819"/>
      <c r="BD44" s="819"/>
    </row>
    <row r="45" spans="1:56" ht="13.5" customHeight="1" thickBot="1">
      <c r="A45" s="1403"/>
      <c r="B45" s="1403"/>
      <c r="C45" s="548"/>
      <c r="D45" s="1403"/>
      <c r="AB45" s="819"/>
      <c r="AC45" s="819"/>
      <c r="AE45" s="819"/>
      <c r="AF45" s="819"/>
      <c r="AG45" s="819"/>
      <c r="AH45" s="819"/>
      <c r="AI45" s="819"/>
      <c r="AJ45" s="819"/>
      <c r="AK45" s="819"/>
      <c r="AL45" s="819"/>
      <c r="AM45" s="819"/>
      <c r="AN45" s="819"/>
      <c r="AO45" s="819"/>
      <c r="AP45" s="819"/>
      <c r="AQ45" s="819"/>
      <c r="AR45" s="819"/>
      <c r="AS45" s="819"/>
      <c r="AT45" s="819"/>
      <c r="AU45" s="819"/>
      <c r="AV45" s="819"/>
      <c r="AW45" s="819"/>
      <c r="AX45" s="819"/>
      <c r="AY45" s="819"/>
      <c r="AZ45" s="819"/>
      <c r="BB45" s="819"/>
      <c r="BC45" s="819"/>
      <c r="BD45" s="819"/>
    </row>
    <row r="46" spans="1:56" ht="14.1" customHeight="1" thickTop="1" thickBot="1">
      <c r="A46" s="1403"/>
      <c r="B46" s="1403"/>
      <c r="C46" s="549"/>
      <c r="D46" s="2015" t="s">
        <v>69</v>
      </c>
      <c r="E46" s="549"/>
      <c r="F46" s="2027" t="s">
        <v>334</v>
      </c>
      <c r="G46" s="2027"/>
      <c r="H46" s="1408"/>
      <c r="I46" s="1408"/>
      <c r="J46" s="1408"/>
      <c r="K46" s="2038" t="s">
        <v>349</v>
      </c>
      <c r="AB46" s="819"/>
      <c r="AC46" s="819"/>
      <c r="AE46" s="819"/>
      <c r="AF46" s="819"/>
      <c r="AG46" s="819"/>
      <c r="AH46" s="819"/>
      <c r="AI46" s="819"/>
      <c r="AJ46" s="819"/>
      <c r="AK46" s="819"/>
      <c r="AL46" s="819"/>
      <c r="AM46" s="819"/>
      <c r="AN46" s="819"/>
      <c r="AO46" s="819"/>
      <c r="AP46" s="819"/>
      <c r="AQ46" s="819"/>
      <c r="AR46" s="819"/>
      <c r="AS46" s="819"/>
      <c r="AT46" s="819"/>
      <c r="AU46" s="819"/>
      <c r="AV46" s="819"/>
      <c r="AW46" s="819"/>
      <c r="AX46" s="819"/>
      <c r="AY46" s="819"/>
      <c r="AZ46" s="819"/>
      <c r="BB46" s="819"/>
      <c r="BC46" s="819"/>
      <c r="BD46" s="819"/>
    </row>
    <row r="47" spans="1:56" ht="12.75" customHeight="1" thickTop="1" thickBot="1">
      <c r="A47" s="1403"/>
      <c r="B47" s="1403"/>
      <c r="C47" s="548"/>
      <c r="D47" s="2016"/>
      <c r="K47" s="2038"/>
      <c r="AB47" s="819"/>
      <c r="AC47" s="819"/>
      <c r="AE47" s="819"/>
      <c r="AF47" s="819"/>
      <c r="AG47" s="819"/>
      <c r="AH47" s="819"/>
      <c r="AI47" s="819"/>
      <c r="AJ47" s="819"/>
      <c r="AK47" s="819"/>
      <c r="AL47" s="819"/>
      <c r="AM47" s="819"/>
      <c r="AN47" s="819"/>
      <c r="AO47" s="819"/>
      <c r="AP47" s="819"/>
      <c r="AQ47" s="819"/>
      <c r="AR47" s="819"/>
      <c r="AS47" s="819"/>
      <c r="AT47" s="819"/>
      <c r="AU47" s="819"/>
      <c r="AV47" s="819"/>
      <c r="AW47" s="819"/>
      <c r="AX47" s="819"/>
      <c r="AY47" s="819"/>
      <c r="AZ47" s="819"/>
      <c r="BB47" s="819"/>
      <c r="BC47" s="819"/>
      <c r="BD47" s="819"/>
    </row>
    <row r="48" spans="1:56" ht="12.75" customHeight="1" thickTop="1">
      <c r="A48" s="1403"/>
      <c r="B48" s="1403"/>
      <c r="C48" s="548"/>
      <c r="D48" s="1403"/>
      <c r="AB48" s="819"/>
      <c r="AC48" s="819"/>
      <c r="AE48" s="819"/>
      <c r="AF48" s="819"/>
      <c r="AG48" s="819"/>
      <c r="AH48" s="819"/>
      <c r="AI48" s="819"/>
      <c r="AJ48" s="819"/>
      <c r="AK48" s="819"/>
      <c r="AL48" s="819"/>
      <c r="AM48" s="819"/>
      <c r="AN48" s="819"/>
      <c r="AO48" s="819"/>
      <c r="AP48" s="819"/>
      <c r="AQ48" s="819"/>
      <c r="AR48" s="819"/>
      <c r="AS48" s="819"/>
      <c r="AT48" s="819"/>
      <c r="AU48" s="819"/>
      <c r="AV48" s="819"/>
      <c r="AW48" s="819"/>
      <c r="AX48" s="819"/>
      <c r="AY48" s="819"/>
      <c r="AZ48" s="819"/>
      <c r="BB48" s="819"/>
      <c r="BC48" s="819"/>
      <c r="BD48" s="819"/>
    </row>
    <row r="49" spans="1:54" ht="14.1" customHeight="1" thickBot="1">
      <c r="A49" s="1403"/>
      <c r="B49" s="1403"/>
      <c r="C49" s="548"/>
      <c r="D49" s="1403"/>
      <c r="AB49" s="819"/>
      <c r="AC49" s="819"/>
      <c r="AE49" s="819"/>
      <c r="AF49" s="819"/>
      <c r="AG49" s="819"/>
      <c r="AH49" s="819"/>
      <c r="AI49" s="819"/>
      <c r="AJ49" s="819"/>
      <c r="AK49" s="819"/>
      <c r="AL49" s="819"/>
      <c r="AM49" s="819"/>
      <c r="AN49" s="819"/>
      <c r="AO49" s="819"/>
      <c r="AP49" s="819"/>
      <c r="AQ49" s="819"/>
      <c r="AR49" s="819"/>
      <c r="AS49" s="819"/>
      <c r="AT49" s="819"/>
      <c r="AU49" s="819"/>
      <c r="AV49" s="819"/>
      <c r="AW49" s="819"/>
      <c r="AX49" s="819"/>
      <c r="AY49" s="819"/>
      <c r="AZ49" s="819"/>
      <c r="BB49" s="819"/>
    </row>
    <row r="50" spans="1:54" ht="14.1" customHeight="1" thickBot="1">
      <c r="A50" s="1403"/>
      <c r="B50" s="1403"/>
      <c r="C50" s="550"/>
      <c r="D50" s="2013" t="s">
        <v>1473</v>
      </c>
      <c r="E50" s="1407"/>
      <c r="F50" s="2029" t="s">
        <v>1474</v>
      </c>
      <c r="G50" s="2029"/>
      <c r="H50" s="2029"/>
      <c r="I50" s="2029"/>
      <c r="J50" s="2029"/>
      <c r="K50" s="2030"/>
      <c r="AB50" s="819"/>
      <c r="AC50" s="819"/>
      <c r="AE50" s="819"/>
      <c r="AF50" s="819"/>
      <c r="AG50" s="819"/>
      <c r="AH50" s="819"/>
      <c r="AI50" s="819"/>
      <c r="AJ50" s="819"/>
      <c r="AK50" s="819"/>
      <c r="AL50" s="819"/>
      <c r="AM50" s="819"/>
      <c r="AN50" s="819"/>
      <c r="AO50" s="819"/>
      <c r="AP50" s="819"/>
      <c r="AQ50" s="819"/>
      <c r="AR50" s="819"/>
      <c r="AS50" s="819"/>
      <c r="AT50" s="819"/>
      <c r="AU50" s="819"/>
      <c r="AV50" s="819"/>
      <c r="AW50" s="819"/>
      <c r="AX50" s="819"/>
      <c r="AY50" s="819"/>
      <c r="AZ50" s="819"/>
      <c r="BB50" s="819"/>
    </row>
    <row r="51" spans="1:54" ht="12.75" customHeight="1" thickBot="1">
      <c r="A51" s="1403"/>
      <c r="B51" s="1403"/>
      <c r="C51" s="548"/>
      <c r="D51" s="2014"/>
      <c r="K51" s="2035"/>
      <c r="AB51" s="819"/>
      <c r="AC51" s="819"/>
      <c r="AE51" s="819"/>
      <c r="AF51" s="819"/>
      <c r="AG51" s="819"/>
      <c r="AH51" s="819"/>
      <c r="AI51" s="819"/>
      <c r="AJ51" s="819"/>
      <c r="AK51" s="819"/>
      <c r="AL51" s="819"/>
      <c r="AM51" s="819"/>
      <c r="AN51" s="819"/>
      <c r="AO51" s="819"/>
      <c r="AP51" s="819"/>
      <c r="AQ51" s="819"/>
      <c r="AR51" s="819"/>
      <c r="AS51" s="819"/>
      <c r="AT51" s="819"/>
      <c r="AU51" s="819"/>
      <c r="AV51" s="819"/>
      <c r="AW51" s="819"/>
      <c r="AX51" s="819"/>
      <c r="AY51" s="819"/>
      <c r="AZ51" s="819"/>
      <c r="BB51" s="819"/>
    </row>
    <row r="52" spans="1:54" ht="12.75" customHeight="1">
      <c r="A52" s="1403"/>
      <c r="B52" s="1403"/>
      <c r="C52" s="548"/>
      <c r="D52" s="1403"/>
      <c r="AB52" s="819"/>
      <c r="AC52" s="819"/>
      <c r="AE52" s="819"/>
      <c r="AF52" s="819"/>
      <c r="AG52" s="819"/>
      <c r="AH52" s="819"/>
      <c r="AI52" s="819"/>
      <c r="AJ52" s="819"/>
      <c r="AK52" s="819"/>
      <c r="AL52" s="819"/>
      <c r="AM52" s="819"/>
      <c r="AN52" s="819"/>
      <c r="AO52" s="819"/>
      <c r="AP52" s="819"/>
      <c r="AQ52" s="819"/>
      <c r="AR52" s="819"/>
      <c r="AS52" s="819"/>
      <c r="AT52" s="819"/>
      <c r="AU52" s="819"/>
      <c r="AV52" s="819"/>
      <c r="AW52" s="819"/>
      <c r="AX52" s="819"/>
      <c r="AY52" s="819"/>
      <c r="AZ52" s="819"/>
      <c r="BB52" s="819"/>
    </row>
    <row r="53" spans="1:54" ht="14.1" customHeight="1" thickBot="1">
      <c r="A53" s="1403"/>
      <c r="B53" s="1403"/>
      <c r="C53" s="548"/>
      <c r="D53" s="1403"/>
      <c r="AB53" s="819"/>
      <c r="AC53" s="819"/>
      <c r="AE53" s="819"/>
      <c r="AF53" s="819"/>
      <c r="AG53" s="819"/>
      <c r="AH53" s="819"/>
      <c r="AI53" s="819"/>
      <c r="AJ53" s="819"/>
      <c r="AK53" s="819"/>
      <c r="AL53" s="819"/>
      <c r="AM53" s="819"/>
      <c r="AN53" s="819"/>
      <c r="AO53" s="819"/>
      <c r="AP53" s="819"/>
      <c r="AQ53" s="819"/>
      <c r="AR53" s="819"/>
      <c r="AS53" s="819"/>
      <c r="AT53" s="819"/>
      <c r="AU53" s="819"/>
      <c r="AV53" s="819"/>
      <c r="AW53" s="819"/>
      <c r="AX53" s="819"/>
      <c r="AY53" s="819"/>
      <c r="AZ53" s="819"/>
      <c r="BB53" s="819"/>
    </row>
    <row r="54" spans="1:54" ht="14.1" customHeight="1" thickTop="1" thickBot="1">
      <c r="A54" s="1403"/>
      <c r="B54" s="1403"/>
      <c r="C54" s="549"/>
      <c r="D54" s="2009" t="s">
        <v>1475</v>
      </c>
      <c r="E54" s="1408"/>
      <c r="F54" s="2027" t="s">
        <v>338</v>
      </c>
      <c r="G54" s="2027"/>
      <c r="H54" s="1408"/>
      <c r="I54" s="1408"/>
      <c r="J54" s="1408"/>
      <c r="K54" s="2030"/>
      <c r="AB54" s="819"/>
      <c r="AC54" s="819"/>
      <c r="AE54" s="819"/>
      <c r="AF54" s="819"/>
      <c r="AG54" s="819"/>
      <c r="AH54" s="819"/>
      <c r="AI54" s="819"/>
      <c r="AJ54" s="819"/>
      <c r="AK54" s="819"/>
      <c r="AL54" s="819"/>
      <c r="AM54" s="819"/>
      <c r="AN54" s="819"/>
      <c r="AO54" s="819"/>
      <c r="AP54" s="819"/>
      <c r="AQ54" s="819"/>
      <c r="AR54" s="819"/>
      <c r="AS54" s="819"/>
      <c r="AT54" s="819"/>
      <c r="AU54" s="819"/>
      <c r="AV54" s="819"/>
      <c r="AW54" s="819"/>
      <c r="AX54" s="819"/>
      <c r="AY54" s="819"/>
      <c r="AZ54" s="819"/>
      <c r="BB54" s="819"/>
    </row>
    <row r="55" spans="1:54" ht="12.75" customHeight="1" thickTop="1" thickBot="1">
      <c r="A55" s="1403"/>
      <c r="B55" s="1403"/>
      <c r="C55" s="548"/>
      <c r="D55" s="2010"/>
      <c r="K55" s="2030"/>
      <c r="AB55" s="819"/>
      <c r="AC55" s="819"/>
      <c r="AE55" s="819"/>
      <c r="AF55" s="819"/>
      <c r="AG55" s="819"/>
      <c r="AH55" s="819"/>
      <c r="AI55" s="819"/>
      <c r="AJ55" s="819"/>
      <c r="AK55" s="819"/>
      <c r="AL55" s="819"/>
      <c r="AM55" s="819"/>
      <c r="AN55" s="819"/>
      <c r="AO55" s="819"/>
      <c r="AP55" s="819"/>
      <c r="AQ55" s="819"/>
      <c r="AR55" s="819"/>
      <c r="AS55" s="819"/>
      <c r="AT55" s="819"/>
      <c r="AU55" s="819"/>
      <c r="AV55" s="819"/>
      <c r="AW55" s="819"/>
      <c r="AX55" s="819"/>
      <c r="AY55" s="819"/>
      <c r="AZ55" s="819"/>
      <c r="BB55" s="819"/>
    </row>
    <row r="56" spans="1:54" ht="12.75" customHeight="1" thickTop="1">
      <c r="A56" s="1403"/>
      <c r="B56" s="1403"/>
      <c r="C56" s="548"/>
      <c r="D56" s="1403"/>
      <c r="AB56" s="819"/>
      <c r="AC56" s="819"/>
      <c r="AE56" s="819"/>
      <c r="AF56" s="819"/>
      <c r="AG56" s="819"/>
      <c r="AH56" s="819"/>
      <c r="AI56" s="819"/>
      <c r="AJ56" s="819"/>
      <c r="AK56" s="819"/>
      <c r="AL56" s="819"/>
      <c r="AM56" s="819"/>
      <c r="AN56" s="819"/>
      <c r="AO56" s="819"/>
      <c r="AP56" s="819"/>
      <c r="AQ56" s="819"/>
      <c r="AR56" s="819"/>
      <c r="AS56" s="819"/>
      <c r="AT56" s="819"/>
      <c r="AU56" s="819"/>
      <c r="AV56" s="819"/>
      <c r="AW56" s="819"/>
      <c r="AX56" s="819"/>
      <c r="AY56" s="819"/>
      <c r="AZ56" s="819"/>
      <c r="BB56" s="819"/>
    </row>
    <row r="57" spans="1:54" ht="14.1" customHeight="1">
      <c r="A57" s="1403"/>
      <c r="B57" s="1403"/>
      <c r="D57" s="1403"/>
      <c r="AB57" s="819"/>
      <c r="AC57" s="819"/>
      <c r="AE57" s="819"/>
      <c r="AF57" s="819"/>
      <c r="AG57" s="819"/>
      <c r="AH57" s="819"/>
      <c r="AI57" s="819"/>
      <c r="AJ57" s="819"/>
      <c r="AK57" s="819"/>
      <c r="AL57" s="819"/>
      <c r="AM57" s="819"/>
      <c r="AN57" s="819"/>
      <c r="AO57" s="819"/>
      <c r="AP57" s="819"/>
      <c r="AQ57" s="819"/>
      <c r="AR57" s="819"/>
      <c r="AS57" s="819"/>
      <c r="AT57" s="819"/>
      <c r="AU57" s="819"/>
      <c r="AV57" s="819"/>
      <c r="AW57" s="819"/>
      <c r="AX57" s="819"/>
      <c r="AY57" s="819"/>
      <c r="AZ57" s="819"/>
      <c r="BB57" s="819"/>
    </row>
    <row r="58" spans="1:54" ht="14.1" customHeight="1">
      <c r="A58" s="1403"/>
      <c r="B58" s="1403"/>
      <c r="C58" s="2008" t="s">
        <v>1476</v>
      </c>
      <c r="D58" s="2008"/>
      <c r="AB58" s="819"/>
      <c r="AC58" s="819"/>
      <c r="AE58" s="819"/>
      <c r="AF58" s="819"/>
      <c r="AG58" s="819"/>
      <c r="AH58" s="819"/>
      <c r="AI58" s="819"/>
      <c r="AJ58" s="819"/>
      <c r="AK58" s="819"/>
      <c r="AL58" s="819"/>
      <c r="AM58" s="819"/>
      <c r="AN58" s="819"/>
      <c r="AO58" s="819"/>
      <c r="AP58" s="819"/>
      <c r="AQ58" s="819"/>
      <c r="AR58" s="819"/>
      <c r="AS58" s="819"/>
      <c r="AT58" s="819"/>
      <c r="AU58" s="819"/>
      <c r="AV58" s="819"/>
      <c r="AW58" s="819"/>
      <c r="AX58" s="819"/>
      <c r="AY58" s="819"/>
      <c r="AZ58" s="819"/>
      <c r="BB58" s="819"/>
    </row>
    <row r="59" spans="1:54" ht="14.1" customHeight="1">
      <c r="A59" s="819"/>
      <c r="B59" s="819"/>
      <c r="C59" s="819"/>
      <c r="D59" s="2028" t="s">
        <v>1477</v>
      </c>
      <c r="E59" s="2028"/>
      <c r="F59" s="2028"/>
      <c r="G59" s="2028"/>
      <c r="H59" s="2028"/>
      <c r="I59" s="2028"/>
      <c r="J59" s="2028"/>
      <c r="K59" s="2028"/>
      <c r="L59" s="2028"/>
      <c r="M59" s="2028"/>
      <c r="N59" s="2028"/>
      <c r="O59" s="2028"/>
      <c r="P59" s="2028"/>
      <c r="Q59" s="2028"/>
      <c r="R59" s="2028"/>
      <c r="S59" s="2028"/>
      <c r="T59" s="2028"/>
      <c r="U59" s="2028"/>
      <c r="V59" s="2028"/>
      <c r="W59" s="2028"/>
      <c r="X59" s="2028"/>
      <c r="Y59" s="2028"/>
      <c r="Z59" s="2028"/>
      <c r="AA59" s="2028"/>
      <c r="AB59" s="2028"/>
      <c r="AC59" s="819"/>
      <c r="AE59" s="819"/>
      <c r="AF59" s="819"/>
      <c r="AG59" s="819"/>
      <c r="AH59" s="819"/>
      <c r="AI59" s="819"/>
      <c r="AJ59" s="819"/>
      <c r="AK59" s="819"/>
      <c r="AL59" s="819"/>
      <c r="AM59" s="819"/>
      <c r="AN59" s="819"/>
      <c r="AO59" s="819"/>
      <c r="AP59" s="819"/>
      <c r="AQ59" s="819"/>
      <c r="AR59" s="819"/>
      <c r="AS59" s="819"/>
      <c r="AT59" s="819"/>
      <c r="AU59" s="819"/>
      <c r="AV59" s="819"/>
      <c r="AW59" s="819"/>
      <c r="AX59" s="819"/>
      <c r="AY59" s="819"/>
      <c r="AZ59" s="819"/>
      <c r="BB59" s="819"/>
    </row>
    <row r="60" spans="1:54" ht="14.1" customHeight="1" thickBot="1">
      <c r="B60" s="1323"/>
      <c r="C60" s="1323"/>
      <c r="D60" s="1331"/>
      <c r="E60" s="1331"/>
      <c r="F60" s="1331"/>
      <c r="G60" s="1331"/>
      <c r="H60" s="1331"/>
      <c r="I60" s="1331"/>
      <c r="J60" s="1331"/>
      <c r="K60" s="1331"/>
      <c r="L60" s="1331"/>
      <c r="M60" s="1331"/>
      <c r="N60" s="1331"/>
      <c r="O60" s="1331"/>
      <c r="P60" s="1331"/>
      <c r="Q60" s="1331"/>
      <c r="R60" s="1331"/>
      <c r="S60" s="1331"/>
      <c r="T60" s="1331"/>
      <c r="U60" s="1331"/>
      <c r="V60" s="1331"/>
      <c r="W60" s="1331"/>
      <c r="X60" s="1331"/>
      <c r="Y60" s="1331"/>
      <c r="Z60" s="1331"/>
      <c r="AA60" s="1331"/>
      <c r="AB60" s="1331"/>
      <c r="AC60" s="819"/>
      <c r="AE60" s="819"/>
      <c r="AF60" s="819"/>
      <c r="AG60" s="819"/>
      <c r="AH60" s="819"/>
      <c r="AI60" s="819"/>
      <c r="AJ60" s="819"/>
      <c r="AK60" s="819"/>
      <c r="AL60" s="819"/>
      <c r="AM60" s="819"/>
      <c r="AN60" s="819"/>
      <c r="AO60" s="819"/>
      <c r="AP60" s="819"/>
      <c r="AQ60" s="819"/>
      <c r="AR60" s="819"/>
      <c r="AS60" s="819"/>
      <c r="AT60" s="819"/>
      <c r="AU60" s="819"/>
      <c r="AV60" s="819"/>
      <c r="AW60" s="819"/>
      <c r="AX60" s="819"/>
      <c r="AY60" s="819"/>
      <c r="AZ60" s="819"/>
      <c r="BA60" s="819"/>
    </row>
    <row r="61" spans="1:54" ht="14.1" customHeight="1" thickTop="1">
      <c r="B61" s="819"/>
      <c r="C61" s="819"/>
      <c r="D61" s="819"/>
      <c r="E61" s="819"/>
      <c r="F61" s="819"/>
      <c r="G61" s="819"/>
      <c r="H61" s="819"/>
      <c r="I61" s="819"/>
      <c r="J61" s="819"/>
      <c r="K61" s="819"/>
      <c r="L61" s="819"/>
      <c r="M61" s="819"/>
      <c r="N61" s="819"/>
      <c r="O61" s="819"/>
      <c r="P61" s="819"/>
      <c r="Q61" s="819"/>
      <c r="R61" s="819"/>
      <c r="S61" s="819"/>
      <c r="T61" s="819"/>
      <c r="U61" s="819"/>
      <c r="V61" s="819"/>
      <c r="W61" s="819"/>
      <c r="X61" s="819"/>
      <c r="Y61" s="819"/>
      <c r="Z61" s="819"/>
      <c r="AA61" s="819"/>
      <c r="AB61" s="819"/>
      <c r="AC61" s="819"/>
      <c r="AE61" s="819"/>
      <c r="AF61" s="819"/>
      <c r="AG61" s="819"/>
      <c r="AH61" s="819"/>
      <c r="AI61" s="819"/>
      <c r="AJ61" s="819"/>
      <c r="AK61" s="819"/>
      <c r="AL61" s="819"/>
      <c r="AM61" s="819"/>
      <c r="AN61" s="819"/>
      <c r="AO61" s="819"/>
      <c r="AP61" s="819"/>
      <c r="AQ61" s="819"/>
      <c r="AR61" s="819"/>
      <c r="AS61" s="819"/>
      <c r="AT61" s="819"/>
      <c r="AU61" s="819"/>
      <c r="AV61" s="819"/>
      <c r="AW61" s="819"/>
      <c r="AX61" s="819"/>
      <c r="AY61" s="819"/>
      <c r="AZ61" s="819"/>
      <c r="BA61" s="819"/>
    </row>
    <row r="62" spans="1:54" ht="14.1" customHeight="1" thickBot="1">
      <c r="A62" s="1403"/>
      <c r="B62" s="1403"/>
      <c r="C62" s="548"/>
      <c r="D62" s="1403"/>
      <c r="V62" s="819"/>
      <c r="W62" s="819"/>
      <c r="X62" s="819"/>
      <c r="Y62" s="819"/>
      <c r="Z62" s="819"/>
      <c r="AA62" s="819"/>
      <c r="AB62" s="819"/>
      <c r="AC62" s="819"/>
      <c r="AE62" s="819"/>
      <c r="AF62" s="819"/>
      <c r="AG62" s="819"/>
      <c r="AH62" s="819"/>
      <c r="AI62" s="819"/>
      <c r="AJ62" s="819"/>
      <c r="AK62" s="819"/>
      <c r="AL62" s="819"/>
      <c r="AM62" s="819"/>
      <c r="AN62" s="819"/>
      <c r="AO62" s="819"/>
      <c r="AP62" s="819"/>
      <c r="AQ62" s="819"/>
      <c r="AR62" s="819"/>
      <c r="AS62" s="819"/>
      <c r="AT62" s="819"/>
      <c r="AU62" s="819"/>
      <c r="AV62" s="819"/>
      <c r="AW62" s="819"/>
      <c r="AX62" s="819"/>
      <c r="AY62" s="819"/>
      <c r="AZ62" s="819"/>
      <c r="BA62" s="819"/>
    </row>
    <row r="63" spans="1:54" ht="14.1" customHeight="1" thickTop="1" thickBot="1">
      <c r="A63" s="1403"/>
      <c r="B63" s="1403"/>
      <c r="C63" s="549"/>
      <c r="D63" s="2015" t="s">
        <v>69</v>
      </c>
      <c r="E63" s="549"/>
      <c r="F63" s="2027" t="s">
        <v>334</v>
      </c>
      <c r="G63" s="2027"/>
      <c r="H63" s="1408"/>
      <c r="I63" s="1408"/>
      <c r="J63" s="1408"/>
      <c r="K63" s="2009" t="s">
        <v>1478</v>
      </c>
      <c r="L63" s="1408"/>
      <c r="M63" s="549"/>
      <c r="N63" s="2009" t="s">
        <v>1479</v>
      </c>
      <c r="O63" s="1408"/>
      <c r="P63" s="2027" t="s">
        <v>1480</v>
      </c>
      <c r="Q63" s="2027"/>
      <c r="R63" s="2027"/>
      <c r="S63" s="2027"/>
      <c r="T63" s="551"/>
      <c r="V63" s="819"/>
      <c r="W63" s="819"/>
      <c r="X63" s="819"/>
      <c r="Y63" s="819"/>
      <c r="Z63" s="819"/>
      <c r="AA63" s="819"/>
      <c r="AB63" s="819"/>
      <c r="AC63" s="819"/>
      <c r="AE63" s="819"/>
      <c r="AF63" s="819"/>
      <c r="AG63" s="819"/>
      <c r="AH63" s="819"/>
      <c r="AI63" s="819"/>
      <c r="AJ63" s="819"/>
      <c r="AK63" s="819"/>
      <c r="AL63" s="819"/>
      <c r="AM63" s="819"/>
      <c r="AN63" s="819"/>
      <c r="AO63" s="819"/>
      <c r="AP63" s="819"/>
      <c r="AQ63" s="819"/>
      <c r="AR63" s="819"/>
      <c r="AS63" s="819"/>
      <c r="AT63" s="819"/>
      <c r="AU63" s="819"/>
      <c r="AV63" s="819"/>
      <c r="AW63" s="819"/>
      <c r="AX63" s="819"/>
      <c r="AY63" s="819"/>
      <c r="AZ63" s="819"/>
      <c r="BB63" s="819"/>
    </row>
    <row r="64" spans="1:54" ht="12.75" customHeight="1" thickTop="1" thickBot="1">
      <c r="A64" s="1403"/>
      <c r="B64" s="1403"/>
      <c r="C64" s="548"/>
      <c r="D64" s="2016"/>
      <c r="K64" s="2010"/>
      <c r="M64" s="548"/>
      <c r="N64" s="2010"/>
      <c r="V64" s="819"/>
      <c r="W64" s="819"/>
      <c r="X64" s="819"/>
      <c r="Y64" s="819"/>
      <c r="Z64" s="819"/>
      <c r="AA64" s="819"/>
      <c r="AB64" s="819"/>
      <c r="AC64" s="819"/>
      <c r="AE64" s="819"/>
      <c r="AF64" s="819"/>
      <c r="AG64" s="819"/>
      <c r="AH64" s="819"/>
      <c r="AI64" s="819"/>
      <c r="AJ64" s="819"/>
      <c r="AK64" s="819"/>
      <c r="AL64" s="819"/>
      <c r="AM64" s="819"/>
      <c r="AN64" s="819"/>
      <c r="AO64" s="819"/>
      <c r="AP64" s="819"/>
      <c r="AQ64" s="819"/>
      <c r="AR64" s="819"/>
      <c r="AS64" s="819"/>
      <c r="AT64" s="819"/>
      <c r="AU64" s="819"/>
      <c r="AV64" s="819"/>
      <c r="AW64" s="819"/>
      <c r="AX64" s="819"/>
      <c r="AY64" s="819"/>
      <c r="AZ64" s="819"/>
      <c r="BB64" s="819"/>
    </row>
    <row r="65" spans="1:54" ht="12.75" customHeight="1" thickTop="1">
      <c r="A65" s="1403"/>
      <c r="B65" s="1403"/>
      <c r="C65" s="548"/>
      <c r="D65" s="1403"/>
      <c r="M65" s="548"/>
      <c r="N65" s="1403"/>
      <c r="U65" s="819"/>
      <c r="V65" s="819"/>
      <c r="W65" s="819"/>
      <c r="X65" s="819"/>
      <c r="Y65" s="819"/>
      <c r="Z65" s="819"/>
      <c r="AA65" s="819"/>
      <c r="AB65" s="819"/>
      <c r="AC65" s="819"/>
      <c r="AE65" s="819"/>
      <c r="AF65" s="819"/>
      <c r="AG65" s="819"/>
      <c r="AH65" s="819"/>
      <c r="AI65" s="819"/>
      <c r="AJ65" s="819"/>
      <c r="AK65" s="819"/>
      <c r="AL65" s="819"/>
      <c r="AM65" s="819"/>
      <c r="AN65" s="819"/>
      <c r="AO65" s="819"/>
      <c r="AP65" s="819"/>
      <c r="AQ65" s="819"/>
      <c r="AR65" s="819"/>
      <c r="AS65" s="819"/>
      <c r="AT65" s="819"/>
      <c r="AU65" s="819"/>
      <c r="AV65" s="819"/>
      <c r="AW65" s="819"/>
      <c r="AX65" s="819"/>
      <c r="AY65" s="819"/>
      <c r="AZ65" s="819"/>
      <c r="BB65" s="819"/>
    </row>
    <row r="66" spans="1:54" ht="14.1" customHeight="1" thickBot="1">
      <c r="A66" s="1403"/>
      <c r="B66" s="1403"/>
      <c r="C66" s="548"/>
      <c r="D66" s="1403"/>
      <c r="M66" s="552"/>
      <c r="U66" s="819"/>
      <c r="V66" s="819"/>
      <c r="W66" s="819"/>
      <c r="X66" s="819"/>
      <c r="Y66" s="819"/>
      <c r="Z66" s="819"/>
      <c r="AA66" s="819"/>
      <c r="AB66" s="819"/>
      <c r="AC66" s="819"/>
      <c r="AE66" s="819"/>
      <c r="AF66" s="819"/>
      <c r="AG66" s="819"/>
      <c r="AH66" s="819"/>
      <c r="AI66" s="819"/>
      <c r="AJ66" s="819"/>
      <c r="AK66" s="819"/>
      <c r="AL66" s="819"/>
      <c r="AM66" s="819"/>
      <c r="AN66" s="819"/>
      <c r="AO66" s="819"/>
      <c r="AP66" s="819"/>
      <c r="AQ66" s="819"/>
      <c r="AR66" s="819"/>
      <c r="AS66" s="819"/>
      <c r="AT66" s="819"/>
      <c r="AU66" s="819"/>
      <c r="AV66" s="819"/>
      <c r="AW66" s="819"/>
      <c r="AX66" s="819"/>
      <c r="AY66" s="819"/>
      <c r="AZ66" s="819"/>
      <c r="BB66" s="819"/>
    </row>
    <row r="67" spans="1:54" ht="14.1" customHeight="1" thickBot="1">
      <c r="A67" s="1403"/>
      <c r="B67" s="1403"/>
      <c r="C67" s="550"/>
      <c r="D67" s="2013" t="s">
        <v>1473</v>
      </c>
      <c r="E67" s="1407"/>
      <c r="F67" s="2029" t="s">
        <v>341</v>
      </c>
      <c r="G67" s="2029"/>
      <c r="H67" s="1407"/>
      <c r="I67" s="1407"/>
      <c r="J67" s="1407"/>
      <c r="K67" s="2030"/>
      <c r="M67" s="550"/>
      <c r="N67" s="2013" t="s">
        <v>1481</v>
      </c>
      <c r="O67" s="1407"/>
      <c r="P67" s="2029" t="s">
        <v>1482</v>
      </c>
      <c r="Q67" s="2029"/>
      <c r="R67" s="2029"/>
      <c r="S67" s="2029"/>
      <c r="T67" s="2029"/>
      <c r="U67" s="819"/>
      <c r="V67" s="819"/>
      <c r="W67" s="819"/>
      <c r="X67" s="819"/>
      <c r="Y67" s="819"/>
      <c r="Z67" s="819"/>
      <c r="AA67" s="819"/>
      <c r="AB67" s="819"/>
      <c r="AC67" s="819"/>
      <c r="AE67" s="819"/>
      <c r="AF67" s="819"/>
      <c r="AG67" s="819"/>
      <c r="AH67" s="819"/>
      <c r="AI67" s="819"/>
      <c r="AJ67" s="819"/>
      <c r="AK67" s="819"/>
      <c r="AL67" s="819"/>
      <c r="AM67" s="819"/>
      <c r="AN67" s="819"/>
      <c r="AO67" s="819"/>
      <c r="AP67" s="819"/>
      <c r="AQ67" s="819"/>
      <c r="AR67" s="819"/>
      <c r="AS67" s="819"/>
      <c r="AT67" s="819"/>
      <c r="AU67" s="819"/>
      <c r="AV67" s="819"/>
      <c r="AW67" s="819"/>
      <c r="AX67" s="819"/>
      <c r="AY67" s="819"/>
      <c r="AZ67" s="819"/>
      <c r="BB67" s="819"/>
    </row>
    <row r="68" spans="1:54" ht="12.75" customHeight="1" thickBot="1">
      <c r="A68" s="1403"/>
      <c r="B68" s="1403"/>
      <c r="C68" s="548"/>
      <c r="D68" s="2014"/>
      <c r="K68" s="2030"/>
      <c r="M68" s="548"/>
      <c r="N68" s="2014"/>
      <c r="U68" s="819"/>
      <c r="V68" s="819"/>
      <c r="W68" s="819"/>
      <c r="X68" s="819"/>
      <c r="Y68" s="819"/>
      <c r="Z68" s="819"/>
      <c r="AA68" s="819"/>
      <c r="AB68" s="819"/>
      <c r="AC68" s="819"/>
      <c r="AE68" s="819"/>
      <c r="AF68" s="819"/>
      <c r="AG68" s="819"/>
      <c r="AH68" s="819"/>
      <c r="AI68" s="819"/>
      <c r="AJ68" s="819"/>
      <c r="AK68" s="819"/>
      <c r="AL68" s="819"/>
      <c r="AM68" s="819"/>
      <c r="AN68" s="819"/>
      <c r="AO68" s="819"/>
      <c r="AP68" s="819"/>
      <c r="AQ68" s="819"/>
      <c r="AR68" s="819"/>
      <c r="AS68" s="819"/>
      <c r="AT68" s="819"/>
      <c r="AU68" s="819"/>
      <c r="AV68" s="819"/>
      <c r="AW68" s="819"/>
      <c r="AX68" s="819"/>
      <c r="AY68" s="819"/>
      <c r="AZ68" s="819"/>
      <c r="BB68" s="819"/>
    </row>
    <row r="69" spans="1:54" ht="12.75" customHeight="1">
      <c r="A69" s="1403"/>
      <c r="B69" s="1403"/>
      <c r="C69" s="548"/>
      <c r="D69" s="1403"/>
      <c r="M69" s="548"/>
      <c r="N69" s="1403"/>
      <c r="U69" s="819"/>
      <c r="V69" s="819"/>
      <c r="W69" s="819"/>
      <c r="X69" s="819"/>
      <c r="Y69" s="819"/>
      <c r="Z69" s="819"/>
      <c r="AA69" s="819"/>
      <c r="AB69" s="819"/>
      <c r="AC69" s="819"/>
      <c r="AE69" s="819"/>
      <c r="AF69" s="819"/>
      <c r="AG69" s="819"/>
      <c r="AH69" s="819"/>
      <c r="AI69" s="819"/>
      <c r="AJ69" s="819"/>
      <c r="AK69" s="819"/>
      <c r="AL69" s="819"/>
      <c r="AM69" s="819"/>
      <c r="AN69" s="819"/>
      <c r="AO69" s="819"/>
      <c r="AP69" s="819"/>
      <c r="AQ69" s="819"/>
      <c r="AR69" s="819"/>
      <c r="AS69" s="819"/>
      <c r="AT69" s="819"/>
      <c r="AU69" s="819"/>
      <c r="AV69" s="819"/>
      <c r="AW69" s="819"/>
      <c r="AX69" s="819"/>
      <c r="AY69" s="819"/>
      <c r="AZ69" s="819"/>
      <c r="BB69" s="819"/>
    </row>
    <row r="70" spans="1:54" ht="14.1" customHeight="1" thickBot="1">
      <c r="A70" s="1403"/>
      <c r="B70" s="1403"/>
      <c r="C70" s="548"/>
      <c r="D70" s="1403"/>
      <c r="M70" s="552"/>
      <c r="U70" s="819"/>
      <c r="V70" s="819"/>
      <c r="W70" s="819"/>
      <c r="X70" s="819"/>
      <c r="Y70" s="819"/>
      <c r="Z70" s="819"/>
      <c r="AA70" s="819"/>
      <c r="AB70" s="819"/>
      <c r="AC70" s="819"/>
      <c r="AE70" s="819"/>
      <c r="AF70" s="819"/>
      <c r="AG70" s="819"/>
      <c r="AH70" s="819"/>
      <c r="AI70" s="819"/>
      <c r="AJ70" s="819"/>
      <c r="AK70" s="819"/>
      <c r="AL70" s="819"/>
      <c r="AM70" s="819"/>
      <c r="AN70" s="819"/>
      <c r="AO70" s="819"/>
      <c r="AP70" s="819"/>
      <c r="AQ70" s="819"/>
      <c r="AR70" s="819"/>
      <c r="AS70" s="819"/>
      <c r="AT70" s="819"/>
      <c r="AU70" s="819"/>
      <c r="AV70" s="819"/>
      <c r="AW70" s="819"/>
      <c r="AX70" s="819"/>
      <c r="AY70" s="819"/>
      <c r="AZ70" s="819"/>
      <c r="BB70" s="819"/>
    </row>
    <row r="71" spans="1:54" ht="14.1" customHeight="1" thickTop="1" thickBot="1">
      <c r="A71" s="1403"/>
      <c r="B71" s="1403"/>
      <c r="C71" s="550"/>
      <c r="D71" s="2013" t="s">
        <v>1475</v>
      </c>
      <c r="E71" s="1407"/>
      <c r="F71" s="2029" t="s">
        <v>338</v>
      </c>
      <c r="G71" s="2029"/>
      <c r="H71" s="1407"/>
      <c r="I71" s="1407"/>
      <c r="J71" s="1407"/>
      <c r="K71" s="2030"/>
      <c r="M71" s="549"/>
      <c r="N71" s="2009" t="s">
        <v>1483</v>
      </c>
      <c r="O71" s="1408"/>
      <c r="P71" s="2027" t="s">
        <v>1484</v>
      </c>
      <c r="Q71" s="2027"/>
      <c r="R71" s="2027"/>
      <c r="S71" s="2027"/>
      <c r="T71" s="551"/>
      <c r="U71" s="819"/>
      <c r="V71" s="819"/>
      <c r="W71" s="819"/>
      <c r="X71" s="819"/>
      <c r="Y71" s="819"/>
      <c r="Z71" s="819"/>
      <c r="AA71" s="819"/>
      <c r="AB71" s="819"/>
      <c r="AC71" s="819"/>
      <c r="AE71" s="819"/>
      <c r="AF71" s="819"/>
      <c r="AG71" s="819"/>
      <c r="AH71" s="819"/>
      <c r="AI71" s="819"/>
      <c r="AJ71" s="819"/>
      <c r="AK71" s="819"/>
      <c r="AL71" s="819"/>
      <c r="AM71" s="819"/>
      <c r="AN71" s="819"/>
      <c r="AO71" s="819"/>
      <c r="AP71" s="819"/>
      <c r="AQ71" s="819"/>
      <c r="AR71" s="819"/>
      <c r="AS71" s="819"/>
      <c r="AT71" s="819"/>
      <c r="AU71" s="819"/>
      <c r="AV71" s="819"/>
      <c r="AW71" s="819"/>
      <c r="AX71" s="819"/>
      <c r="AY71" s="819"/>
      <c r="AZ71" s="819"/>
      <c r="BB71" s="819"/>
    </row>
    <row r="72" spans="1:54" ht="12.75" customHeight="1" thickBot="1">
      <c r="A72" s="1403"/>
      <c r="B72" s="1403"/>
      <c r="C72" s="548"/>
      <c r="D72" s="2014"/>
      <c r="K72" s="2030"/>
      <c r="M72" s="548"/>
      <c r="N72" s="2010"/>
      <c r="U72" s="819"/>
      <c r="V72" s="819"/>
      <c r="W72" s="819"/>
      <c r="X72" s="819"/>
      <c r="Y72" s="819"/>
      <c r="Z72" s="819"/>
      <c r="AA72" s="819"/>
      <c r="AB72" s="819"/>
      <c r="AC72" s="819"/>
      <c r="AE72" s="819"/>
      <c r="AF72" s="819"/>
      <c r="AG72" s="819"/>
      <c r="AH72" s="819"/>
      <c r="AI72" s="819"/>
      <c r="AJ72" s="819"/>
      <c r="AK72" s="819"/>
      <c r="AL72" s="819"/>
      <c r="AM72" s="819"/>
      <c r="AN72" s="819"/>
      <c r="AO72" s="819"/>
      <c r="AP72" s="819"/>
      <c r="AQ72" s="819"/>
      <c r="AR72" s="819"/>
      <c r="AS72" s="819"/>
      <c r="AT72" s="819"/>
      <c r="AU72" s="819"/>
      <c r="AV72" s="819"/>
      <c r="AW72" s="819"/>
      <c r="AX72" s="819"/>
      <c r="AY72" s="819"/>
      <c r="AZ72" s="819"/>
      <c r="BB72" s="819"/>
    </row>
    <row r="73" spans="1:54" ht="12.75" customHeight="1">
      <c r="A73" s="1403"/>
      <c r="B73" s="1403"/>
      <c r="C73" s="548"/>
      <c r="D73" s="1403"/>
      <c r="M73" s="548"/>
      <c r="N73" s="1403"/>
      <c r="U73" s="819"/>
      <c r="V73" s="819"/>
      <c r="W73" s="819"/>
      <c r="X73" s="819"/>
      <c r="Y73" s="819"/>
      <c r="Z73" s="819"/>
      <c r="AA73" s="819"/>
      <c r="AB73" s="819"/>
      <c r="AC73" s="819"/>
      <c r="AE73" s="819"/>
      <c r="AF73" s="819"/>
      <c r="AG73" s="819"/>
      <c r="AH73" s="819"/>
      <c r="AI73" s="819"/>
      <c r="AJ73" s="819"/>
      <c r="AK73" s="819"/>
      <c r="AL73" s="819"/>
      <c r="AM73" s="819"/>
      <c r="AN73" s="819"/>
      <c r="AO73" s="819"/>
      <c r="AP73" s="819"/>
      <c r="AQ73" s="819"/>
      <c r="AR73" s="819"/>
      <c r="AS73" s="819"/>
      <c r="AT73" s="819"/>
      <c r="AU73" s="819"/>
      <c r="AV73" s="819"/>
      <c r="AW73" s="819"/>
      <c r="AX73" s="819"/>
      <c r="AY73" s="819"/>
      <c r="AZ73" s="819"/>
      <c r="BB73" s="819"/>
    </row>
    <row r="74" spans="1:54" ht="14.1" customHeight="1">
      <c r="A74" s="1403"/>
      <c r="B74" s="2011" t="s">
        <v>349</v>
      </c>
      <c r="C74" s="2011"/>
      <c r="D74" s="1403"/>
      <c r="U74" s="819"/>
      <c r="V74" s="819"/>
      <c r="W74" s="819"/>
      <c r="X74" s="819"/>
      <c r="Y74" s="819"/>
      <c r="Z74" s="819"/>
      <c r="AA74" s="819"/>
      <c r="AB74" s="819"/>
      <c r="AC74" s="819"/>
      <c r="AE74" s="819"/>
      <c r="AF74" s="819"/>
      <c r="AG74" s="819"/>
      <c r="AH74" s="819"/>
      <c r="AI74" s="819"/>
      <c r="AJ74" s="819"/>
      <c r="AK74" s="819"/>
      <c r="AL74" s="819"/>
      <c r="AM74" s="819"/>
      <c r="AN74" s="819"/>
      <c r="AO74" s="819"/>
      <c r="AP74" s="819"/>
      <c r="AQ74" s="819"/>
      <c r="AR74" s="819"/>
      <c r="AS74" s="819"/>
      <c r="AT74" s="819"/>
      <c r="AU74" s="819"/>
      <c r="AV74" s="819"/>
      <c r="AW74" s="819"/>
      <c r="AX74" s="819"/>
      <c r="AY74" s="819"/>
      <c r="AZ74" s="819"/>
      <c r="BB74" s="819"/>
    </row>
    <row r="75" spans="1:54" ht="13.5" customHeight="1">
      <c r="A75" s="1403"/>
      <c r="B75" s="2011"/>
      <c r="C75" s="2011"/>
      <c r="D75" s="1403"/>
      <c r="U75" s="819"/>
      <c r="V75" s="819"/>
      <c r="W75" s="819"/>
      <c r="X75" s="819"/>
      <c r="Y75" s="819"/>
      <c r="Z75" s="819"/>
      <c r="AA75" s="819"/>
      <c r="AB75" s="819"/>
      <c r="AC75" s="819"/>
      <c r="AE75" s="819"/>
      <c r="AF75" s="819"/>
      <c r="AG75" s="819"/>
      <c r="AH75" s="819"/>
      <c r="AI75" s="819"/>
      <c r="AJ75" s="819"/>
      <c r="AK75" s="819"/>
      <c r="AL75" s="819"/>
      <c r="AM75" s="819"/>
      <c r="AN75" s="819"/>
      <c r="AO75" s="819"/>
      <c r="AP75" s="819"/>
      <c r="AQ75" s="819"/>
      <c r="AR75" s="819"/>
      <c r="AS75" s="819"/>
      <c r="AT75" s="819"/>
      <c r="AU75" s="819"/>
      <c r="AV75" s="819"/>
      <c r="AW75" s="819"/>
      <c r="AX75" s="819"/>
      <c r="AY75" s="819"/>
      <c r="AZ75" s="819"/>
      <c r="BB75" s="819"/>
    </row>
    <row r="76" spans="1:54" ht="14.1" customHeight="1">
      <c r="A76" s="1403"/>
      <c r="B76" s="1403"/>
      <c r="C76" s="2008" t="s">
        <v>1485</v>
      </c>
      <c r="D76" s="2008"/>
      <c r="U76" s="819"/>
      <c r="V76" s="819"/>
      <c r="W76" s="819"/>
      <c r="X76" s="819"/>
      <c r="Y76" s="819"/>
      <c r="Z76" s="819"/>
      <c r="AA76" s="819"/>
      <c r="AB76" s="819"/>
      <c r="AC76" s="819"/>
      <c r="AE76" s="819"/>
      <c r="AF76" s="819"/>
      <c r="AG76" s="819"/>
      <c r="AH76" s="819"/>
      <c r="AI76" s="819"/>
      <c r="AJ76" s="819"/>
      <c r="AK76" s="819"/>
      <c r="AL76" s="819"/>
      <c r="AM76" s="819"/>
      <c r="AN76" s="819"/>
      <c r="AO76" s="819"/>
      <c r="AP76" s="819"/>
      <c r="AQ76" s="819"/>
      <c r="AR76" s="819"/>
      <c r="AS76" s="819"/>
      <c r="AT76" s="819"/>
      <c r="AU76" s="819"/>
      <c r="AV76" s="819"/>
      <c r="AW76" s="819"/>
      <c r="AX76" s="819"/>
      <c r="AY76" s="819"/>
      <c r="AZ76" s="819"/>
      <c r="BB76" s="819"/>
    </row>
    <row r="77" spans="1:54" ht="14.1" customHeight="1">
      <c r="A77" s="819"/>
      <c r="B77" s="819"/>
      <c r="C77" s="819"/>
      <c r="D77" s="2025" t="s">
        <v>1486</v>
      </c>
      <c r="E77" s="2025"/>
      <c r="F77" s="2025"/>
      <c r="G77" s="2025"/>
      <c r="H77" s="2025"/>
      <c r="I77" s="2025"/>
      <c r="J77" s="2025"/>
      <c r="K77" s="2025"/>
      <c r="L77" s="2025"/>
      <c r="M77" s="2025"/>
      <c r="N77" s="2025"/>
      <c r="O77" s="2025"/>
      <c r="P77" s="2025"/>
      <c r="Q77" s="2025"/>
      <c r="R77" s="2025"/>
      <c r="S77" s="2025"/>
      <c r="T77" s="2025"/>
      <c r="U77" s="2025"/>
      <c r="V77" s="2025"/>
      <c r="W77" s="2025"/>
      <c r="X77" s="2025"/>
      <c r="Y77" s="2025"/>
      <c r="Z77" s="2025"/>
      <c r="AA77" s="2025"/>
      <c r="AB77" s="2025"/>
      <c r="AC77" s="819"/>
      <c r="AE77" s="819"/>
      <c r="AF77" s="819"/>
      <c r="AG77" s="819"/>
      <c r="AH77" s="819"/>
      <c r="AI77" s="819"/>
      <c r="AJ77" s="819"/>
      <c r="AK77" s="819"/>
      <c r="AL77" s="819"/>
      <c r="AM77" s="819"/>
      <c r="AN77" s="819"/>
      <c r="AO77" s="819"/>
      <c r="AP77" s="819"/>
      <c r="AQ77" s="819"/>
      <c r="AR77" s="819"/>
      <c r="AS77" s="819"/>
      <c r="AT77" s="819"/>
      <c r="AU77" s="819"/>
      <c r="AV77" s="819"/>
      <c r="AW77" s="819"/>
      <c r="AX77" s="819"/>
      <c r="AY77" s="819"/>
      <c r="AZ77" s="819"/>
      <c r="BB77" s="819"/>
    </row>
    <row r="78" spans="1:54" ht="14.1" customHeight="1">
      <c r="A78" s="819"/>
      <c r="B78" s="819"/>
      <c r="C78" s="819"/>
      <c r="D78" s="2025"/>
      <c r="E78" s="2025"/>
      <c r="F78" s="2025"/>
      <c r="G78" s="2025"/>
      <c r="H78" s="2025"/>
      <c r="I78" s="2025"/>
      <c r="J78" s="2025"/>
      <c r="K78" s="2025"/>
      <c r="L78" s="2025"/>
      <c r="M78" s="2025"/>
      <c r="N78" s="2025"/>
      <c r="O78" s="2025"/>
      <c r="P78" s="2025"/>
      <c r="Q78" s="2025"/>
      <c r="R78" s="2025"/>
      <c r="S78" s="2025"/>
      <c r="T78" s="2025"/>
      <c r="U78" s="2025"/>
      <c r="V78" s="2025"/>
      <c r="W78" s="2025"/>
      <c r="X78" s="2025"/>
      <c r="Y78" s="2025"/>
      <c r="Z78" s="2025"/>
      <c r="AA78" s="2025"/>
      <c r="AB78" s="2025"/>
      <c r="AC78" s="819"/>
      <c r="AE78" s="819"/>
      <c r="AF78" s="819"/>
      <c r="AG78" s="819"/>
      <c r="AH78" s="819"/>
      <c r="AI78" s="819"/>
      <c r="AJ78" s="819"/>
      <c r="AK78" s="819"/>
      <c r="AL78" s="819"/>
      <c r="AM78" s="819"/>
      <c r="AN78" s="819"/>
      <c r="AO78" s="819"/>
      <c r="AP78" s="819"/>
      <c r="AQ78" s="819"/>
      <c r="AR78" s="819"/>
      <c r="AS78" s="819"/>
      <c r="AT78" s="819"/>
      <c r="AU78" s="819"/>
      <c r="AV78" s="819"/>
      <c r="AW78" s="819"/>
      <c r="AX78" s="819"/>
      <c r="AY78" s="819"/>
      <c r="AZ78" s="819"/>
      <c r="BA78" s="819"/>
    </row>
    <row r="79" spans="1:54" ht="14.1" customHeight="1" thickBot="1">
      <c r="A79" s="555"/>
      <c r="B79" s="1323"/>
      <c r="C79" s="1323"/>
      <c r="D79" s="1331"/>
      <c r="E79" s="1331"/>
      <c r="F79" s="1331"/>
      <c r="G79" s="1331"/>
      <c r="H79" s="1331"/>
      <c r="I79" s="1331"/>
      <c r="J79" s="1331"/>
      <c r="K79" s="1331"/>
      <c r="L79" s="1331"/>
      <c r="M79" s="1331"/>
      <c r="N79" s="1331"/>
      <c r="O79" s="1331"/>
      <c r="P79" s="1331"/>
      <c r="Q79" s="1331"/>
      <c r="R79" s="1331"/>
      <c r="S79" s="1331"/>
      <c r="T79" s="1331"/>
      <c r="U79" s="1331"/>
      <c r="V79" s="1331"/>
      <c r="W79" s="1331"/>
      <c r="X79" s="1331"/>
      <c r="Y79" s="1331"/>
      <c r="Z79" s="1331"/>
      <c r="AA79" s="1331"/>
      <c r="AB79" s="1331"/>
      <c r="AC79" s="819"/>
      <c r="AE79" s="819"/>
      <c r="AF79" s="819"/>
      <c r="AG79" s="819"/>
      <c r="AH79" s="819"/>
      <c r="AI79" s="819"/>
      <c r="AJ79" s="819"/>
      <c r="AK79" s="819"/>
      <c r="AL79" s="819"/>
      <c r="AM79" s="819"/>
      <c r="AN79" s="819"/>
      <c r="AO79" s="819"/>
      <c r="AP79" s="819"/>
      <c r="AQ79" s="819"/>
      <c r="AR79" s="819"/>
      <c r="AS79" s="819"/>
      <c r="AT79" s="819"/>
      <c r="AU79" s="819"/>
      <c r="AV79" s="819"/>
      <c r="AW79" s="819"/>
      <c r="AX79" s="819"/>
      <c r="AY79" s="819"/>
      <c r="AZ79" s="819"/>
      <c r="BA79" s="819"/>
    </row>
    <row r="80" spans="1:54" ht="14.1" customHeight="1" thickTop="1">
      <c r="A80" s="556"/>
      <c r="B80" s="1324"/>
      <c r="C80" s="819"/>
      <c r="D80" s="819"/>
      <c r="E80" s="819"/>
      <c r="F80" s="819"/>
      <c r="G80" s="819"/>
      <c r="H80" s="819"/>
      <c r="I80" s="819"/>
      <c r="J80" s="819"/>
      <c r="K80" s="819"/>
      <c r="L80" s="819"/>
      <c r="M80" s="819"/>
      <c r="N80" s="819"/>
      <c r="O80" s="819"/>
      <c r="P80" s="819"/>
      <c r="Q80" s="819"/>
      <c r="R80" s="819"/>
      <c r="S80" s="819"/>
      <c r="T80" s="819"/>
      <c r="U80" s="819"/>
      <c r="V80" s="819"/>
      <c r="W80" s="819"/>
      <c r="X80" s="819"/>
      <c r="Y80" s="819"/>
      <c r="Z80" s="819"/>
      <c r="AA80" s="819"/>
      <c r="AB80" s="819"/>
      <c r="AC80" s="819"/>
      <c r="AE80" s="819"/>
      <c r="AF80" s="819"/>
      <c r="AG80" s="819"/>
      <c r="AH80" s="819"/>
      <c r="AI80" s="819"/>
      <c r="AJ80" s="819"/>
      <c r="AK80" s="819"/>
      <c r="AL80" s="819"/>
      <c r="AM80" s="819"/>
      <c r="AN80" s="819"/>
      <c r="AO80" s="819"/>
      <c r="AP80" s="819"/>
      <c r="AQ80" s="819"/>
      <c r="AR80" s="819"/>
      <c r="AS80" s="819"/>
      <c r="AT80" s="819"/>
      <c r="AU80" s="819"/>
      <c r="AV80" s="819"/>
      <c r="AW80" s="819"/>
      <c r="AX80" s="819"/>
      <c r="AY80" s="819"/>
      <c r="AZ80" s="819"/>
      <c r="BA80" s="819"/>
    </row>
    <row r="81" spans="1:54" ht="14.1" customHeight="1">
      <c r="A81" s="2021" t="s">
        <v>1487</v>
      </c>
      <c r="B81" s="2021"/>
      <c r="C81" s="2021"/>
      <c r="D81" s="2021"/>
      <c r="E81" s="2021"/>
      <c r="F81" s="2021"/>
      <c r="G81" s="2021"/>
      <c r="H81" s="2021"/>
      <c r="I81" s="2021"/>
      <c r="J81" s="2021"/>
      <c r="K81" s="2021"/>
      <c r="L81" s="2021"/>
      <c r="M81" s="2021"/>
      <c r="N81" s="2021"/>
      <c r="O81" s="2021"/>
      <c r="P81" s="2021"/>
      <c r="Q81" s="2021"/>
      <c r="R81" s="2021"/>
      <c r="S81" s="2021"/>
      <c r="U81" s="819"/>
      <c r="V81" s="819"/>
      <c r="W81" s="819"/>
      <c r="X81" s="819"/>
      <c r="Y81" s="819"/>
      <c r="Z81" s="819"/>
      <c r="AA81" s="819"/>
      <c r="AB81" s="819"/>
      <c r="AC81" s="819"/>
      <c r="AE81" s="819"/>
      <c r="AF81" s="819"/>
      <c r="AG81" s="819"/>
      <c r="AH81" s="819"/>
      <c r="AI81" s="819"/>
      <c r="AJ81" s="819"/>
      <c r="AK81" s="819"/>
      <c r="AL81" s="819"/>
      <c r="AM81" s="819"/>
      <c r="AN81" s="819"/>
      <c r="AO81" s="819"/>
      <c r="AP81" s="819"/>
      <c r="AQ81" s="819"/>
      <c r="AR81" s="819"/>
      <c r="AS81" s="819"/>
      <c r="AT81" s="819"/>
      <c r="AU81" s="819"/>
      <c r="AV81" s="819"/>
      <c r="AW81" s="819"/>
      <c r="AX81" s="819"/>
      <c r="AY81" s="819"/>
      <c r="AZ81" s="819"/>
      <c r="BA81" s="819"/>
    </row>
    <row r="82" spans="1:54" ht="14.1" customHeight="1">
      <c r="A82" s="1403"/>
      <c r="B82" s="1403"/>
      <c r="C82" s="1403"/>
      <c r="D82" s="1403"/>
      <c r="U82" s="819"/>
      <c r="V82" s="819"/>
      <c r="W82" s="819"/>
      <c r="X82" s="819"/>
      <c r="Y82" s="819"/>
      <c r="Z82" s="819"/>
      <c r="AA82" s="819"/>
      <c r="AB82" s="819"/>
      <c r="AC82" s="819"/>
      <c r="AE82" s="819"/>
      <c r="AF82" s="819"/>
      <c r="AG82" s="819"/>
      <c r="AH82" s="819"/>
      <c r="AI82" s="819"/>
      <c r="AJ82" s="819"/>
      <c r="AK82" s="819"/>
      <c r="AL82" s="819"/>
      <c r="AM82" s="819"/>
      <c r="AN82" s="819"/>
      <c r="AO82" s="819"/>
      <c r="AP82" s="819"/>
      <c r="AQ82" s="819"/>
      <c r="AR82" s="819"/>
      <c r="AS82" s="819"/>
      <c r="AT82" s="819"/>
      <c r="AU82" s="819"/>
      <c r="AV82" s="819"/>
      <c r="AW82" s="819"/>
      <c r="AX82" s="819"/>
      <c r="AY82" s="819"/>
      <c r="AZ82" s="819"/>
      <c r="BB82" s="819"/>
    </row>
    <row r="83" spans="1:54" ht="14.1" customHeight="1">
      <c r="A83" s="1403"/>
      <c r="B83" s="1403"/>
      <c r="C83" s="552"/>
      <c r="D83" s="1403"/>
      <c r="L83" s="567"/>
      <c r="U83" s="819"/>
      <c r="V83" s="819"/>
      <c r="W83" s="819"/>
      <c r="X83" s="819"/>
      <c r="Y83" s="819"/>
      <c r="Z83" s="819"/>
      <c r="AA83" s="819"/>
      <c r="AB83" s="819"/>
      <c r="AC83" s="819"/>
      <c r="AE83" s="819"/>
      <c r="AF83" s="819"/>
      <c r="AG83" s="819"/>
      <c r="AH83" s="819"/>
      <c r="AI83" s="819"/>
      <c r="AJ83" s="819"/>
      <c r="AK83" s="819"/>
      <c r="AL83" s="819"/>
      <c r="AM83" s="819"/>
      <c r="AN83" s="819"/>
      <c r="AO83" s="819"/>
      <c r="AP83" s="819"/>
      <c r="AQ83" s="819"/>
      <c r="AR83" s="819"/>
      <c r="AS83" s="819"/>
      <c r="AT83" s="819"/>
      <c r="AU83" s="819"/>
      <c r="AV83" s="819"/>
      <c r="AW83" s="819"/>
      <c r="AX83" s="819"/>
      <c r="AY83" s="819"/>
      <c r="AZ83" s="819"/>
      <c r="BB83" s="819"/>
    </row>
    <row r="84" spans="1:54" ht="14.1" customHeight="1" thickBot="1">
      <c r="A84" s="1403"/>
      <c r="B84" s="1403"/>
      <c r="C84" s="552"/>
      <c r="D84" s="1403"/>
      <c r="L84" s="567"/>
      <c r="U84" s="819"/>
      <c r="V84" s="819"/>
      <c r="W84" s="819"/>
      <c r="X84" s="819"/>
      <c r="Y84" s="819"/>
      <c r="Z84" s="819"/>
      <c r="AA84" s="819"/>
      <c r="AB84" s="819"/>
      <c r="AC84" s="819"/>
      <c r="AE84" s="819"/>
      <c r="AF84" s="819"/>
      <c r="AG84" s="819"/>
      <c r="AH84" s="819"/>
      <c r="AI84" s="819"/>
      <c r="AJ84" s="819"/>
      <c r="AK84" s="819"/>
      <c r="AL84" s="819"/>
      <c r="AM84" s="819"/>
      <c r="AN84" s="819"/>
      <c r="AO84" s="819"/>
      <c r="AP84" s="819"/>
      <c r="AQ84" s="819"/>
      <c r="AR84" s="819"/>
      <c r="AS84" s="819"/>
      <c r="AT84" s="819"/>
      <c r="AU84" s="819"/>
      <c r="AV84" s="819"/>
      <c r="AW84" s="819"/>
      <c r="AX84" s="819"/>
      <c r="AY84" s="819"/>
      <c r="AZ84" s="819"/>
      <c r="BB84" s="819"/>
    </row>
    <row r="85" spans="1:54" ht="14.1" customHeight="1" thickTop="1" thickBot="1">
      <c r="A85" s="1403"/>
      <c r="B85" s="1403"/>
      <c r="C85" s="549"/>
      <c r="D85" s="1408"/>
      <c r="E85" s="2009" t="s">
        <v>1479</v>
      </c>
      <c r="F85" s="1332"/>
      <c r="G85" s="1332"/>
      <c r="H85" s="1332"/>
      <c r="I85" s="1332"/>
      <c r="J85" s="2009" t="s">
        <v>1481</v>
      </c>
      <c r="K85" s="1332"/>
      <c r="L85" s="1333"/>
      <c r="U85" s="819"/>
      <c r="V85" s="819"/>
      <c r="W85" s="819"/>
      <c r="X85" s="819"/>
      <c r="Y85" s="819"/>
      <c r="Z85" s="819"/>
      <c r="AA85" s="819"/>
      <c r="AB85" s="819"/>
      <c r="AC85" s="819"/>
      <c r="AE85" s="819"/>
      <c r="AF85" s="819"/>
      <c r="AG85" s="819"/>
      <c r="AH85" s="819"/>
      <c r="AI85" s="819"/>
      <c r="AJ85" s="819"/>
      <c r="AK85" s="819"/>
      <c r="AL85" s="819"/>
      <c r="AM85" s="819"/>
      <c r="AN85" s="819"/>
      <c r="AO85" s="819"/>
      <c r="AP85" s="819"/>
      <c r="AQ85" s="819"/>
      <c r="AR85" s="819"/>
      <c r="AS85" s="819"/>
      <c r="AT85" s="819"/>
      <c r="AU85" s="819"/>
      <c r="AV85" s="819"/>
      <c r="AW85" s="819"/>
      <c r="AX85" s="819"/>
      <c r="AY85" s="819"/>
      <c r="AZ85" s="819"/>
      <c r="BB85" s="819"/>
    </row>
    <row r="86" spans="1:54" ht="14.1" customHeight="1" thickTop="1" thickBot="1">
      <c r="A86" s="1403"/>
      <c r="B86" s="1403"/>
      <c r="C86" s="548"/>
      <c r="D86" s="1403"/>
      <c r="E86" s="2010"/>
      <c r="G86" s="554"/>
      <c r="J86" s="2010"/>
      <c r="L86" s="567"/>
      <c r="U86" s="819"/>
      <c r="V86" s="819"/>
      <c r="W86" s="819"/>
      <c r="X86" s="819"/>
      <c r="Y86" s="819"/>
      <c r="Z86" s="819"/>
      <c r="AA86" s="819"/>
      <c r="AB86" s="819"/>
      <c r="AC86" s="819"/>
      <c r="AE86" s="819"/>
      <c r="AF86" s="819"/>
      <c r="AG86" s="819"/>
      <c r="AH86" s="819"/>
      <c r="AI86" s="819"/>
      <c r="AJ86" s="819"/>
      <c r="AK86" s="819"/>
      <c r="AL86" s="819"/>
      <c r="AM86" s="819"/>
      <c r="AN86" s="819"/>
      <c r="AO86" s="819"/>
      <c r="AP86" s="819"/>
      <c r="AQ86" s="819"/>
      <c r="AR86" s="819"/>
      <c r="AS86" s="819"/>
      <c r="AT86" s="819"/>
      <c r="AU86" s="819"/>
      <c r="AV86" s="819"/>
      <c r="AW86" s="819"/>
      <c r="AX86" s="819"/>
      <c r="AY86" s="819"/>
      <c r="AZ86" s="819"/>
      <c r="BB86" s="819"/>
    </row>
    <row r="87" spans="1:54" ht="14.1" customHeight="1" thickTop="1">
      <c r="A87" s="1403"/>
      <c r="B87" s="1403"/>
      <c r="C87" s="548"/>
      <c r="D87" s="1403"/>
      <c r="G87" s="554"/>
      <c r="L87" s="567"/>
      <c r="U87" s="819"/>
      <c r="V87" s="819"/>
      <c r="W87" s="819"/>
      <c r="X87" s="819"/>
      <c r="Y87" s="819"/>
      <c r="Z87" s="819"/>
      <c r="AA87" s="819"/>
      <c r="AB87" s="819"/>
      <c r="AC87" s="819"/>
      <c r="AE87" s="819"/>
      <c r="AF87" s="819"/>
      <c r="AG87" s="819"/>
      <c r="AH87" s="819"/>
      <c r="AI87" s="819"/>
      <c r="AJ87" s="819"/>
      <c r="AK87" s="819"/>
      <c r="AL87" s="819"/>
      <c r="AM87" s="819"/>
      <c r="AN87" s="819"/>
      <c r="AO87" s="819"/>
      <c r="AP87" s="819"/>
      <c r="AQ87" s="819"/>
      <c r="AR87" s="819"/>
      <c r="AS87" s="819"/>
      <c r="AT87" s="819"/>
      <c r="AU87" s="819"/>
      <c r="AV87" s="819"/>
      <c r="AW87" s="819"/>
      <c r="AX87" s="819"/>
      <c r="AY87" s="819"/>
      <c r="AZ87" s="819"/>
      <c r="BB87" s="819"/>
    </row>
    <row r="88" spans="1:54" ht="14.1" customHeight="1">
      <c r="A88" s="1403"/>
      <c r="B88" s="1403"/>
      <c r="C88" s="548"/>
      <c r="D88" s="1403"/>
      <c r="G88" s="554"/>
      <c r="L88" s="567"/>
      <c r="U88" s="819"/>
      <c r="V88" s="819"/>
      <c r="W88" s="819"/>
      <c r="X88" s="819"/>
      <c r="Y88" s="819"/>
      <c r="Z88" s="819"/>
      <c r="AA88" s="819"/>
      <c r="AB88" s="819"/>
      <c r="AC88" s="819"/>
      <c r="AE88" s="819"/>
      <c r="AF88" s="819"/>
      <c r="AG88" s="819"/>
      <c r="AH88" s="819"/>
      <c r="AI88" s="819"/>
      <c r="AJ88" s="819"/>
      <c r="AK88" s="819"/>
      <c r="AL88" s="819"/>
      <c r="AM88" s="819"/>
      <c r="AN88" s="819"/>
      <c r="AO88" s="819"/>
      <c r="AP88" s="819"/>
      <c r="AQ88" s="819"/>
      <c r="AR88" s="819"/>
      <c r="AS88" s="819"/>
      <c r="AT88" s="819"/>
      <c r="AU88" s="819"/>
      <c r="AV88" s="819"/>
      <c r="AW88" s="819"/>
      <c r="AX88" s="819"/>
      <c r="AY88" s="819"/>
      <c r="AZ88" s="819"/>
      <c r="BB88" s="819"/>
    </row>
    <row r="89" spans="1:54" ht="14.1" customHeight="1">
      <c r="A89" s="1403"/>
      <c r="B89" s="1403"/>
      <c r="C89" s="548"/>
      <c r="D89" s="1403"/>
      <c r="G89" s="2012" t="s">
        <v>338</v>
      </c>
      <c r="H89" s="2012"/>
      <c r="L89" s="567"/>
      <c r="U89" s="819"/>
      <c r="V89" s="819"/>
      <c r="W89" s="819"/>
      <c r="X89" s="819"/>
      <c r="Y89" s="819"/>
      <c r="Z89" s="819"/>
      <c r="AA89" s="819"/>
      <c r="AB89" s="819"/>
      <c r="AC89" s="819"/>
      <c r="AE89" s="819"/>
      <c r="AF89" s="819"/>
      <c r="AG89" s="819"/>
      <c r="AH89" s="819"/>
      <c r="AI89" s="819"/>
      <c r="AJ89" s="819"/>
      <c r="AK89" s="819"/>
      <c r="AL89" s="819"/>
      <c r="AM89" s="819"/>
      <c r="AN89" s="819"/>
      <c r="AO89" s="819"/>
      <c r="AP89" s="819"/>
      <c r="AQ89" s="819"/>
      <c r="AR89" s="819"/>
      <c r="AS89" s="819"/>
      <c r="AT89" s="819"/>
      <c r="AU89" s="819"/>
      <c r="AV89" s="819"/>
      <c r="AW89" s="819"/>
      <c r="AX89" s="819"/>
      <c r="AY89" s="819"/>
      <c r="AZ89" s="819"/>
      <c r="BB89" s="819"/>
    </row>
    <row r="90" spans="1:54" ht="13.5" customHeight="1" thickBot="1">
      <c r="A90" s="1403"/>
      <c r="B90" s="1403"/>
      <c r="C90" s="548"/>
      <c r="D90" s="1403"/>
      <c r="E90" s="1403"/>
      <c r="M90" s="548"/>
      <c r="O90" s="819"/>
      <c r="P90" s="819"/>
      <c r="Q90" s="819"/>
      <c r="R90" s="819"/>
      <c r="S90" s="819"/>
      <c r="T90" s="819"/>
      <c r="U90" s="819"/>
      <c r="V90" s="819"/>
      <c r="W90" s="819"/>
      <c r="X90" s="819"/>
      <c r="Y90" s="819"/>
      <c r="Z90" s="819"/>
      <c r="AA90" s="819"/>
      <c r="AB90" s="819"/>
      <c r="AC90" s="819"/>
      <c r="AE90" s="819"/>
      <c r="AF90" s="819"/>
      <c r="AG90" s="819"/>
      <c r="AH90" s="819"/>
      <c r="AI90" s="819"/>
      <c r="AJ90" s="819"/>
      <c r="AK90" s="819"/>
      <c r="AL90" s="819"/>
      <c r="AM90" s="819"/>
      <c r="AN90" s="819"/>
      <c r="AO90" s="819"/>
      <c r="AP90" s="819"/>
      <c r="AQ90" s="819"/>
      <c r="AR90" s="819"/>
      <c r="AS90" s="819"/>
      <c r="AT90" s="819"/>
      <c r="AU90" s="819"/>
      <c r="AV90" s="819"/>
      <c r="AW90" s="819"/>
      <c r="AX90" s="819"/>
      <c r="AY90" s="819"/>
      <c r="AZ90" s="819"/>
      <c r="BB90" s="819"/>
    </row>
    <row r="91" spans="1:54" ht="14.1" customHeight="1" thickBot="1">
      <c r="A91" s="1403"/>
      <c r="B91" s="1403"/>
      <c r="C91" s="549"/>
      <c r="D91" s="1408"/>
      <c r="E91" s="2007" t="s">
        <v>1475</v>
      </c>
      <c r="F91" s="557"/>
      <c r="G91" s="1334"/>
      <c r="H91" s="1407"/>
      <c r="I91" s="1335"/>
      <c r="J91" s="2007" t="s">
        <v>1478</v>
      </c>
      <c r="K91" s="1408"/>
      <c r="L91" s="1332"/>
      <c r="M91" s="548"/>
      <c r="O91" s="819"/>
      <c r="P91" s="819"/>
      <c r="Q91" s="819"/>
      <c r="R91" s="819"/>
      <c r="S91" s="819"/>
      <c r="T91" s="819"/>
      <c r="U91" s="819"/>
      <c r="V91" s="819"/>
      <c r="W91" s="819"/>
      <c r="X91" s="819"/>
      <c r="Y91" s="819"/>
      <c r="Z91" s="819"/>
      <c r="AA91" s="819"/>
      <c r="AB91" s="819"/>
      <c r="AC91" s="819"/>
      <c r="AE91" s="819"/>
      <c r="AF91" s="819"/>
      <c r="AG91" s="819"/>
      <c r="AH91" s="819"/>
      <c r="AI91" s="819"/>
      <c r="AJ91" s="819"/>
      <c r="AK91" s="819"/>
      <c r="AL91" s="819"/>
      <c r="AM91" s="819"/>
      <c r="AN91" s="819"/>
      <c r="AO91" s="819"/>
      <c r="AP91" s="819"/>
      <c r="AQ91" s="819"/>
      <c r="AR91" s="819"/>
      <c r="AS91" s="819"/>
      <c r="AT91" s="819"/>
      <c r="AU91" s="819"/>
      <c r="AV91" s="819"/>
      <c r="AW91" s="819"/>
      <c r="AX91" s="819"/>
      <c r="AY91" s="819"/>
      <c r="AZ91" s="819"/>
      <c r="BB91" s="819"/>
    </row>
    <row r="92" spans="1:54" ht="12.75" customHeight="1" thickTop="1" thickBot="1">
      <c r="A92" s="1403"/>
      <c r="B92" s="1403"/>
      <c r="C92" s="558"/>
      <c r="D92" s="559"/>
      <c r="E92" s="2007"/>
      <c r="F92" s="560"/>
      <c r="G92" s="561"/>
      <c r="H92" s="562"/>
      <c r="I92" s="561"/>
      <c r="J92" s="2026"/>
      <c r="L92" s="554"/>
      <c r="M92" s="548"/>
      <c r="O92" s="819"/>
      <c r="P92" s="819"/>
      <c r="Q92" s="819"/>
      <c r="R92" s="819"/>
      <c r="S92" s="819"/>
      <c r="T92" s="819"/>
      <c r="U92" s="819"/>
      <c r="V92" s="819"/>
      <c r="W92" s="819"/>
      <c r="X92" s="819"/>
      <c r="Y92" s="819"/>
      <c r="Z92" s="819"/>
      <c r="AA92" s="819"/>
      <c r="AB92" s="819"/>
      <c r="AC92" s="819"/>
      <c r="AE92" s="819"/>
      <c r="AF92" s="819"/>
      <c r="AG92" s="819"/>
      <c r="AH92" s="819"/>
      <c r="AI92" s="819"/>
      <c r="AJ92" s="819"/>
      <c r="AK92" s="819"/>
      <c r="AL92" s="819"/>
      <c r="AM92" s="819"/>
      <c r="AN92" s="819"/>
      <c r="AO92" s="819"/>
      <c r="AP92" s="819"/>
      <c r="AQ92" s="819"/>
      <c r="AR92" s="819"/>
      <c r="AS92" s="819"/>
      <c r="AT92" s="819"/>
      <c r="AU92" s="819"/>
      <c r="AV92" s="819"/>
      <c r="AW92" s="819"/>
      <c r="AX92" s="819"/>
      <c r="AY92" s="819"/>
      <c r="AZ92" s="819"/>
      <c r="BB92" s="819"/>
    </row>
    <row r="93" spans="1:54" ht="12.75" customHeight="1">
      <c r="A93" s="1403"/>
      <c r="B93" s="1403"/>
      <c r="C93" s="548"/>
      <c r="D93" s="1403"/>
      <c r="G93" s="563"/>
      <c r="H93" s="564"/>
      <c r="I93" s="819"/>
      <c r="L93" s="554"/>
      <c r="M93" s="548"/>
      <c r="O93" s="819"/>
      <c r="P93" s="819"/>
      <c r="Q93" s="819"/>
      <c r="R93" s="819"/>
      <c r="S93" s="819"/>
      <c r="T93" s="819"/>
      <c r="U93" s="819"/>
      <c r="V93" s="819"/>
      <c r="W93" s="819"/>
      <c r="X93" s="819"/>
      <c r="Y93" s="819"/>
      <c r="Z93" s="819"/>
      <c r="AA93" s="819"/>
      <c r="AB93" s="819"/>
      <c r="AC93" s="819"/>
      <c r="AE93" s="819"/>
      <c r="AF93" s="819"/>
      <c r="AG93" s="819"/>
      <c r="AH93" s="819"/>
      <c r="AI93" s="819"/>
      <c r="AJ93" s="819"/>
      <c r="AK93" s="819"/>
      <c r="AL93" s="819"/>
      <c r="AM93" s="819"/>
      <c r="AN93" s="819"/>
      <c r="AO93" s="819"/>
      <c r="AP93" s="819"/>
      <c r="AQ93" s="819"/>
      <c r="AR93" s="819"/>
      <c r="AS93" s="819"/>
      <c r="AT93" s="819"/>
      <c r="AU93" s="819"/>
      <c r="AV93" s="819"/>
      <c r="AW93" s="819"/>
      <c r="AX93" s="819"/>
      <c r="AY93" s="819"/>
      <c r="AZ93" s="819"/>
      <c r="BB93" s="819"/>
    </row>
    <row r="94" spans="1:54" ht="14.1" customHeight="1">
      <c r="A94" s="1403"/>
      <c r="C94" s="552"/>
      <c r="G94" s="565"/>
      <c r="H94" s="566"/>
      <c r="I94" s="819"/>
      <c r="L94" s="567"/>
      <c r="M94" s="552"/>
      <c r="O94" s="819"/>
      <c r="P94" s="819"/>
      <c r="Q94" s="819"/>
      <c r="R94" s="819"/>
      <c r="S94" s="819"/>
      <c r="T94" s="819"/>
      <c r="U94" s="819"/>
      <c r="V94" s="819"/>
      <c r="W94" s="819"/>
      <c r="X94" s="819"/>
      <c r="Y94" s="819"/>
      <c r="Z94" s="819"/>
      <c r="AA94" s="819"/>
      <c r="AB94" s="819"/>
      <c r="AC94" s="819"/>
      <c r="AE94" s="819"/>
      <c r="AF94" s="819"/>
      <c r="AG94" s="819"/>
      <c r="AH94" s="819"/>
      <c r="AI94" s="819"/>
      <c r="AJ94" s="819"/>
      <c r="AK94" s="819"/>
      <c r="AL94" s="819"/>
      <c r="AM94" s="819"/>
      <c r="AN94" s="819"/>
      <c r="AO94" s="819"/>
      <c r="AP94" s="819"/>
      <c r="AQ94" s="819"/>
      <c r="AR94" s="819"/>
      <c r="AS94" s="819"/>
      <c r="AT94" s="819"/>
      <c r="AU94" s="819"/>
      <c r="AV94" s="819"/>
      <c r="AW94" s="819"/>
      <c r="AX94" s="819"/>
      <c r="AY94" s="819"/>
      <c r="AZ94" s="819"/>
      <c r="BB94" s="819"/>
    </row>
    <row r="95" spans="1:54" ht="14.1" customHeight="1">
      <c r="A95" s="1403"/>
      <c r="B95" s="554"/>
      <c r="C95" s="552"/>
      <c r="G95" s="533" t="s">
        <v>1474</v>
      </c>
      <c r="H95" s="533"/>
      <c r="I95" s="819"/>
      <c r="K95" s="819"/>
      <c r="L95" s="1336"/>
      <c r="M95" s="1337"/>
      <c r="O95" s="819"/>
      <c r="P95" s="819"/>
      <c r="Q95" s="819"/>
      <c r="R95" s="819"/>
      <c r="S95" s="819"/>
      <c r="T95" s="819"/>
      <c r="U95" s="819"/>
      <c r="V95" s="819"/>
      <c r="W95" s="819"/>
      <c r="X95" s="819"/>
      <c r="Y95" s="819"/>
      <c r="Z95" s="819"/>
      <c r="AA95" s="819"/>
      <c r="AB95" s="819"/>
      <c r="AC95" s="819"/>
      <c r="AE95" s="819"/>
      <c r="AF95" s="819"/>
      <c r="AG95" s="819"/>
      <c r="AH95" s="819"/>
      <c r="AI95" s="819"/>
      <c r="AJ95" s="819"/>
      <c r="AK95" s="819"/>
      <c r="AL95" s="819"/>
      <c r="AM95" s="819"/>
      <c r="AN95" s="819"/>
      <c r="AO95" s="819"/>
      <c r="AP95" s="819"/>
      <c r="AQ95" s="819"/>
      <c r="AR95" s="819"/>
      <c r="AS95" s="819"/>
      <c r="AT95" s="819"/>
      <c r="AU95" s="819"/>
      <c r="AV95" s="819"/>
      <c r="AW95" s="819"/>
      <c r="AX95" s="819"/>
      <c r="AY95" s="819"/>
      <c r="AZ95" s="819"/>
      <c r="BB95" s="819"/>
    </row>
    <row r="96" spans="1:54" ht="12.75" customHeight="1" thickBot="1">
      <c r="A96" s="1403"/>
      <c r="B96" s="1403"/>
      <c r="C96" s="548"/>
      <c r="D96" s="1403"/>
      <c r="E96" s="1403"/>
      <c r="L96" s="554"/>
      <c r="M96" s="1337"/>
      <c r="O96" s="819"/>
      <c r="P96" s="819"/>
      <c r="Q96" s="819"/>
      <c r="R96" s="819"/>
      <c r="S96" s="819"/>
      <c r="T96" s="819"/>
      <c r="U96" s="819"/>
      <c r="V96" s="819"/>
      <c r="W96" s="819"/>
      <c r="X96" s="819"/>
      <c r="Y96" s="819"/>
      <c r="Z96" s="819"/>
      <c r="AA96" s="819"/>
      <c r="AB96" s="819"/>
      <c r="AC96" s="819"/>
      <c r="AE96" s="819"/>
      <c r="AF96" s="819"/>
      <c r="AG96" s="819"/>
      <c r="AH96" s="819"/>
      <c r="AI96" s="819"/>
      <c r="AJ96" s="819"/>
      <c r="AK96" s="819"/>
      <c r="AL96" s="819"/>
      <c r="AM96" s="819"/>
      <c r="AN96" s="819"/>
      <c r="AO96" s="819"/>
      <c r="AP96" s="819"/>
      <c r="AQ96" s="819"/>
      <c r="AR96" s="819"/>
      <c r="AS96" s="819"/>
      <c r="AT96" s="819"/>
      <c r="AU96" s="819"/>
      <c r="AV96" s="819"/>
      <c r="AW96" s="819"/>
      <c r="AX96" s="819"/>
      <c r="AY96" s="819"/>
      <c r="AZ96" s="819"/>
      <c r="BB96" s="819"/>
    </row>
    <row r="97" spans="1:54" ht="12.75" customHeight="1" thickTop="1" thickBot="1">
      <c r="A97" s="1403"/>
      <c r="B97" s="1403"/>
      <c r="C97" s="549"/>
      <c r="D97" s="568"/>
      <c r="E97" s="2015" t="s">
        <v>69</v>
      </c>
      <c r="F97" s="549"/>
      <c r="G97" s="1332"/>
      <c r="H97" s="1332"/>
      <c r="I97" s="1408"/>
      <c r="J97" s="2009" t="s">
        <v>1473</v>
      </c>
      <c r="K97" s="1408"/>
      <c r="L97" s="1333"/>
      <c r="M97" s="1337"/>
      <c r="O97" s="819"/>
      <c r="P97" s="819"/>
      <c r="Q97" s="819"/>
      <c r="R97" s="819"/>
      <c r="S97" s="819"/>
      <c r="T97" s="819"/>
      <c r="U97" s="819"/>
      <c r="V97" s="819"/>
      <c r="W97" s="819"/>
      <c r="X97" s="819"/>
      <c r="Y97" s="819"/>
      <c r="Z97" s="819"/>
      <c r="AA97" s="819"/>
      <c r="AB97" s="819"/>
      <c r="AC97" s="819"/>
      <c r="AE97" s="819"/>
      <c r="AF97" s="819"/>
      <c r="AG97" s="819"/>
      <c r="AH97" s="819"/>
      <c r="AI97" s="819"/>
      <c r="AJ97" s="819"/>
      <c r="AK97" s="819"/>
      <c r="AL97" s="819"/>
      <c r="AM97" s="819"/>
      <c r="AN97" s="819"/>
      <c r="AO97" s="819"/>
      <c r="AP97" s="819"/>
      <c r="AQ97" s="819"/>
      <c r="AR97" s="819"/>
      <c r="AS97" s="819"/>
      <c r="AT97" s="819"/>
      <c r="AU97" s="819"/>
      <c r="AV97" s="819"/>
      <c r="AW97" s="819"/>
      <c r="AX97" s="819"/>
      <c r="AY97" s="819"/>
      <c r="AZ97" s="819"/>
      <c r="BB97" s="819"/>
    </row>
    <row r="98" spans="1:54" ht="14.1" customHeight="1" thickTop="1" thickBot="1">
      <c r="A98" s="1403"/>
      <c r="B98" s="1403"/>
      <c r="C98" s="558"/>
      <c r="D98" s="569"/>
      <c r="E98" s="2016"/>
      <c r="G98" s="554"/>
      <c r="J98" s="2010"/>
      <c r="L98" s="554"/>
      <c r="M98" s="1337"/>
      <c r="O98" s="819"/>
      <c r="P98" s="819"/>
      <c r="Q98" s="819"/>
      <c r="R98" s="819"/>
      <c r="S98" s="819"/>
      <c r="T98" s="819"/>
      <c r="U98" s="819"/>
      <c r="V98" s="819"/>
      <c r="W98" s="819"/>
      <c r="X98" s="819"/>
      <c r="Y98" s="819"/>
      <c r="Z98" s="819"/>
      <c r="AA98" s="819"/>
      <c r="AB98" s="819"/>
      <c r="AC98" s="819"/>
      <c r="AE98" s="819"/>
      <c r="AF98" s="819"/>
      <c r="AG98" s="819"/>
      <c r="AH98" s="819"/>
      <c r="AI98" s="819"/>
      <c r="AJ98" s="819"/>
      <c r="AK98" s="819"/>
      <c r="AL98" s="819"/>
      <c r="AM98" s="819"/>
      <c r="AN98" s="819"/>
      <c r="AO98" s="819"/>
      <c r="AP98" s="819"/>
      <c r="AQ98" s="819"/>
      <c r="AR98" s="819"/>
      <c r="AS98" s="819"/>
      <c r="AT98" s="819"/>
      <c r="AU98" s="819"/>
      <c r="AV98" s="819"/>
      <c r="AW98" s="819"/>
      <c r="AX98" s="819"/>
      <c r="AY98" s="819"/>
      <c r="AZ98" s="819"/>
      <c r="BB98" s="819"/>
    </row>
    <row r="99" spans="1:54" ht="14.1" customHeight="1" thickTop="1">
      <c r="A99" s="1403"/>
      <c r="B99" s="1403"/>
      <c r="C99" s="548"/>
      <c r="D99" s="1403"/>
      <c r="E99" s="1403"/>
      <c r="G99" s="554"/>
      <c r="L99" s="554"/>
      <c r="M99" s="819"/>
      <c r="O99" s="819"/>
      <c r="P99" s="819"/>
      <c r="Q99" s="819"/>
      <c r="R99" s="819"/>
      <c r="S99" s="819"/>
      <c r="T99" s="819"/>
      <c r="U99" s="819"/>
      <c r="V99" s="819"/>
      <c r="W99" s="819"/>
      <c r="X99" s="819"/>
      <c r="Y99" s="819"/>
      <c r="Z99" s="819"/>
      <c r="AA99" s="819"/>
      <c r="AB99" s="819"/>
      <c r="AC99" s="819"/>
      <c r="AE99" s="819"/>
      <c r="AF99" s="819"/>
      <c r="AG99" s="819"/>
      <c r="AH99" s="819"/>
      <c r="AI99" s="819"/>
      <c r="AJ99" s="819"/>
      <c r="AK99" s="819"/>
      <c r="AL99" s="819"/>
      <c r="AM99" s="819"/>
      <c r="AN99" s="819"/>
      <c r="AO99" s="819"/>
      <c r="AP99" s="819"/>
      <c r="AQ99" s="819"/>
      <c r="AR99" s="819"/>
      <c r="AS99" s="819"/>
      <c r="AT99" s="819"/>
      <c r="AU99" s="819"/>
      <c r="AV99" s="819"/>
      <c r="AW99" s="819"/>
      <c r="AX99" s="819"/>
      <c r="AY99" s="819"/>
      <c r="AZ99" s="819"/>
      <c r="BB99" s="819"/>
    </row>
    <row r="100" spans="1:54" ht="12.75" customHeight="1">
      <c r="A100" s="1403"/>
      <c r="C100" s="552"/>
      <c r="G100" s="567"/>
      <c r="H100" s="533"/>
      <c r="L100" s="567"/>
      <c r="M100" s="819"/>
      <c r="O100" s="819"/>
      <c r="P100" s="819"/>
      <c r="Q100" s="819"/>
      <c r="R100" s="819"/>
      <c r="S100" s="819"/>
      <c r="T100" s="819"/>
      <c r="U100" s="819"/>
      <c r="V100" s="819"/>
      <c r="W100" s="819"/>
      <c r="X100" s="819"/>
      <c r="Y100" s="819"/>
      <c r="Z100" s="819"/>
      <c r="AA100" s="819"/>
      <c r="AB100" s="819"/>
      <c r="AC100" s="819"/>
      <c r="AE100" s="819"/>
      <c r="AF100" s="819"/>
      <c r="AG100" s="819"/>
      <c r="AH100" s="819"/>
      <c r="AI100" s="819"/>
      <c r="AJ100" s="819"/>
      <c r="AK100" s="819"/>
      <c r="AL100" s="819"/>
      <c r="AM100" s="819"/>
      <c r="AN100" s="819"/>
      <c r="AO100" s="819"/>
      <c r="AP100" s="819"/>
      <c r="AQ100" s="819"/>
      <c r="AR100" s="819"/>
      <c r="AS100" s="819"/>
      <c r="AT100" s="819"/>
      <c r="AU100" s="819"/>
      <c r="AV100" s="819"/>
      <c r="AW100" s="819"/>
      <c r="AX100" s="819"/>
      <c r="AY100" s="819"/>
      <c r="AZ100" s="819"/>
      <c r="BB100" s="819"/>
    </row>
    <row r="101" spans="1:54" ht="12.75" customHeight="1">
      <c r="A101" s="1403"/>
      <c r="G101" s="2011" t="s">
        <v>349</v>
      </c>
      <c r="H101" s="2011"/>
      <c r="I101" s="819"/>
      <c r="J101" s="819"/>
      <c r="K101" s="819"/>
      <c r="L101" s="819"/>
      <c r="M101" s="819"/>
      <c r="O101" s="819"/>
      <c r="P101" s="819"/>
      <c r="Q101" s="819"/>
      <c r="R101" s="819"/>
      <c r="S101" s="819"/>
      <c r="T101" s="819"/>
      <c r="U101" s="819"/>
      <c r="V101" s="819"/>
      <c r="W101" s="819"/>
      <c r="X101" s="819"/>
      <c r="Y101" s="819"/>
      <c r="Z101" s="819"/>
      <c r="AA101" s="819"/>
      <c r="AB101" s="819"/>
      <c r="AC101" s="819"/>
      <c r="AE101" s="819"/>
      <c r="AF101" s="819"/>
      <c r="AG101" s="819"/>
      <c r="AH101" s="819"/>
      <c r="AI101" s="819"/>
      <c r="AJ101" s="819"/>
      <c r="AK101" s="819"/>
      <c r="AL101" s="819"/>
      <c r="AM101" s="819"/>
      <c r="AN101" s="819"/>
      <c r="AO101" s="819"/>
      <c r="AP101" s="819"/>
      <c r="AQ101" s="819"/>
      <c r="AR101" s="819"/>
      <c r="AS101" s="819"/>
      <c r="AT101" s="819"/>
      <c r="AU101" s="819"/>
      <c r="AV101" s="819"/>
      <c r="AW101" s="819"/>
      <c r="AX101" s="819"/>
      <c r="AY101" s="819"/>
      <c r="AZ101" s="819"/>
      <c r="BB101" s="819"/>
    </row>
    <row r="102" spans="1:54" ht="14.1" customHeight="1">
      <c r="A102" s="1403"/>
      <c r="G102" s="2011"/>
      <c r="H102" s="2011"/>
      <c r="I102" s="819"/>
      <c r="J102" s="819"/>
      <c r="K102" s="819"/>
      <c r="L102" s="819"/>
      <c r="M102" s="819"/>
      <c r="O102" s="819"/>
      <c r="P102" s="819"/>
      <c r="Q102" s="819"/>
      <c r="R102" s="819"/>
      <c r="S102" s="819"/>
      <c r="T102" s="819"/>
      <c r="U102" s="819"/>
      <c r="V102" s="819"/>
      <c r="W102" s="819"/>
      <c r="X102" s="819"/>
      <c r="Y102" s="819"/>
      <c r="Z102" s="819"/>
      <c r="AA102" s="819"/>
      <c r="AB102" s="819"/>
      <c r="AC102" s="819"/>
      <c r="AE102" s="819"/>
      <c r="AF102" s="819"/>
      <c r="AG102" s="819"/>
      <c r="AH102" s="819"/>
      <c r="AI102" s="819"/>
      <c r="AJ102" s="819"/>
      <c r="AK102" s="819"/>
      <c r="AL102" s="819"/>
      <c r="AM102" s="819"/>
      <c r="AN102" s="819"/>
      <c r="AO102" s="819"/>
      <c r="AP102" s="819"/>
      <c r="AQ102" s="819"/>
      <c r="AR102" s="819"/>
      <c r="AS102" s="819"/>
      <c r="AT102" s="819"/>
      <c r="AU102" s="819"/>
      <c r="AV102" s="819"/>
      <c r="AW102" s="819"/>
      <c r="AX102" s="819"/>
      <c r="AY102" s="819"/>
      <c r="AZ102" s="819"/>
      <c r="BB102" s="819"/>
    </row>
    <row r="103" spans="1:54" ht="14.1" customHeight="1">
      <c r="A103" s="1403"/>
      <c r="C103" s="819"/>
      <c r="D103" s="819"/>
      <c r="G103" s="2012" t="s">
        <v>334</v>
      </c>
      <c r="H103" s="2012"/>
      <c r="I103" s="819"/>
      <c r="J103" s="819"/>
      <c r="K103" s="819"/>
      <c r="L103" s="819"/>
      <c r="M103" s="819"/>
      <c r="O103" s="819"/>
      <c r="P103" s="819"/>
      <c r="Q103" s="819"/>
      <c r="R103" s="819"/>
      <c r="S103" s="819"/>
      <c r="T103" s="819"/>
      <c r="U103" s="819"/>
      <c r="V103" s="819"/>
      <c r="W103" s="819"/>
      <c r="X103" s="819"/>
      <c r="Y103" s="819"/>
      <c r="Z103" s="819"/>
      <c r="AA103" s="819"/>
      <c r="AB103" s="819"/>
      <c r="AC103" s="819"/>
      <c r="AE103" s="819"/>
      <c r="AF103" s="819"/>
      <c r="AG103" s="819"/>
      <c r="AH103" s="819"/>
      <c r="AI103" s="819"/>
      <c r="AJ103" s="819"/>
      <c r="AK103" s="819"/>
      <c r="AL103" s="819"/>
      <c r="AM103" s="819"/>
      <c r="AN103" s="819"/>
      <c r="AO103" s="819"/>
      <c r="AP103" s="819"/>
      <c r="AQ103" s="819"/>
      <c r="AR103" s="819"/>
      <c r="AS103" s="819"/>
      <c r="AT103" s="819"/>
      <c r="AU103" s="819"/>
      <c r="AV103" s="819"/>
      <c r="AW103" s="819"/>
      <c r="AX103" s="819"/>
      <c r="AY103" s="819"/>
      <c r="AZ103" s="819"/>
      <c r="BB103" s="819"/>
    </row>
    <row r="104" spans="1:54" ht="14.1" customHeight="1">
      <c r="A104" s="1403"/>
      <c r="C104" s="2008" t="s">
        <v>1476</v>
      </c>
      <c r="D104" s="2008"/>
      <c r="G104" s="590"/>
      <c r="H104" s="590"/>
      <c r="I104" s="819"/>
      <c r="J104" s="819"/>
      <c r="K104" s="819"/>
      <c r="L104" s="819"/>
      <c r="M104" s="819"/>
      <c r="O104" s="819"/>
      <c r="P104" s="819"/>
      <c r="Q104" s="819"/>
      <c r="R104" s="819"/>
      <c r="S104" s="819"/>
      <c r="T104" s="819"/>
      <c r="U104" s="819"/>
      <c r="V104" s="819"/>
      <c r="W104" s="819"/>
      <c r="X104" s="819"/>
      <c r="Y104" s="819"/>
      <c r="Z104" s="819"/>
      <c r="AA104" s="819"/>
      <c r="AB104" s="819"/>
      <c r="AC104" s="819"/>
      <c r="AE104" s="819"/>
      <c r="AF104" s="819"/>
      <c r="AG104" s="819"/>
      <c r="AH104" s="819"/>
      <c r="AI104" s="819"/>
      <c r="AJ104" s="819"/>
      <c r="AK104" s="819"/>
      <c r="AL104" s="819"/>
      <c r="AM104" s="819"/>
      <c r="AN104" s="819"/>
      <c r="AO104" s="819"/>
      <c r="AP104" s="819"/>
      <c r="AQ104" s="819"/>
      <c r="AR104" s="819"/>
      <c r="AS104" s="819"/>
      <c r="AT104" s="819"/>
      <c r="AU104" s="819"/>
      <c r="AV104" s="819"/>
      <c r="AW104" s="819"/>
      <c r="AX104" s="819"/>
      <c r="AY104" s="819"/>
      <c r="AZ104" s="819"/>
      <c r="BB104" s="819"/>
    </row>
    <row r="105" spans="1:54" ht="14.1" customHeight="1">
      <c r="A105" s="819"/>
      <c r="B105" s="819"/>
      <c r="C105" s="819"/>
      <c r="D105" s="2028" t="s">
        <v>1477</v>
      </c>
      <c r="E105" s="2028"/>
      <c r="F105" s="2028"/>
      <c r="G105" s="2028"/>
      <c r="H105" s="2028"/>
      <c r="I105" s="2028"/>
      <c r="J105" s="2028"/>
      <c r="K105" s="2028"/>
      <c r="L105" s="2028"/>
      <c r="M105" s="2028"/>
      <c r="N105" s="2028"/>
      <c r="O105" s="2028"/>
      <c r="P105" s="2028"/>
      <c r="Q105" s="2028"/>
      <c r="R105" s="2028"/>
      <c r="S105" s="2028"/>
      <c r="T105" s="2028"/>
      <c r="U105" s="2028"/>
      <c r="V105" s="2028"/>
      <c r="W105" s="2028"/>
      <c r="X105" s="2028"/>
      <c r="Y105" s="2028"/>
      <c r="Z105" s="2028"/>
      <c r="AA105" s="2028"/>
      <c r="AB105" s="2028"/>
      <c r="AC105" s="819"/>
      <c r="AE105" s="819"/>
      <c r="AF105" s="819"/>
      <c r="AG105" s="819"/>
      <c r="AH105" s="819"/>
      <c r="AI105" s="819"/>
      <c r="AJ105" s="819"/>
      <c r="AK105" s="819"/>
      <c r="AL105" s="819"/>
      <c r="AM105" s="819"/>
      <c r="AN105" s="819"/>
      <c r="AO105" s="819"/>
      <c r="AP105" s="819"/>
      <c r="AQ105" s="819"/>
      <c r="AR105" s="819"/>
      <c r="AS105" s="819"/>
      <c r="AT105" s="819"/>
      <c r="AU105" s="819"/>
      <c r="AV105" s="819"/>
      <c r="AW105" s="819"/>
      <c r="AX105" s="819"/>
      <c r="AY105" s="819"/>
      <c r="AZ105" s="819"/>
      <c r="BB105" s="819"/>
    </row>
    <row r="106" spans="1:54" ht="14.1" customHeight="1" thickBot="1">
      <c r="B106" s="1323"/>
      <c r="C106" s="1323"/>
      <c r="D106" s="1331"/>
      <c r="E106" s="1331"/>
      <c r="F106" s="1331"/>
      <c r="G106" s="1331"/>
      <c r="H106" s="1331"/>
      <c r="I106" s="1331"/>
      <c r="J106" s="1331"/>
      <c r="K106" s="1331"/>
      <c r="L106" s="1331"/>
      <c r="M106" s="1331"/>
      <c r="N106" s="1331"/>
      <c r="O106" s="1331"/>
      <c r="P106" s="1331"/>
      <c r="Q106" s="1331"/>
      <c r="R106" s="1331"/>
      <c r="S106" s="1331"/>
      <c r="T106" s="1331"/>
      <c r="U106" s="1331"/>
      <c r="V106" s="1331"/>
      <c r="W106" s="1331"/>
      <c r="X106" s="1331"/>
      <c r="Y106" s="1331"/>
      <c r="Z106" s="1331"/>
      <c r="AA106" s="1331"/>
      <c r="AB106" s="1331"/>
      <c r="AC106" s="819"/>
      <c r="AE106" s="819"/>
      <c r="AF106" s="819"/>
      <c r="AG106" s="819"/>
      <c r="AH106" s="819"/>
      <c r="AI106" s="819"/>
      <c r="AJ106" s="819"/>
      <c r="AK106" s="819"/>
      <c r="AL106" s="819"/>
      <c r="AM106" s="819"/>
      <c r="AN106" s="819"/>
      <c r="AO106" s="819"/>
      <c r="AP106" s="819"/>
      <c r="AQ106" s="819"/>
      <c r="AR106" s="819"/>
      <c r="AS106" s="819"/>
      <c r="AT106" s="819"/>
      <c r="AU106" s="819"/>
      <c r="AV106" s="819"/>
      <c r="AW106" s="819"/>
      <c r="AX106" s="819"/>
      <c r="AY106" s="819"/>
      <c r="AZ106" s="819"/>
      <c r="BA106" s="819"/>
    </row>
    <row r="107" spans="1:54" ht="14.1" customHeight="1" thickTop="1">
      <c r="B107" s="819"/>
      <c r="C107" s="819"/>
      <c r="D107" s="819"/>
      <c r="E107" s="819"/>
      <c r="F107" s="819"/>
      <c r="G107" s="819"/>
      <c r="H107" s="819"/>
      <c r="I107" s="819"/>
      <c r="J107" s="819"/>
      <c r="K107" s="819"/>
      <c r="L107" s="819"/>
      <c r="M107" s="819"/>
      <c r="N107" s="819"/>
      <c r="O107" s="819"/>
      <c r="P107" s="819"/>
      <c r="Q107" s="819"/>
      <c r="R107" s="819"/>
      <c r="S107" s="819"/>
      <c r="T107" s="819"/>
      <c r="U107" s="819"/>
      <c r="V107" s="819"/>
      <c r="W107" s="819"/>
      <c r="X107" s="819"/>
      <c r="Y107" s="819"/>
      <c r="Z107" s="819"/>
      <c r="AA107" s="819"/>
      <c r="AB107" s="819"/>
      <c r="AC107" s="819"/>
      <c r="AE107" s="819"/>
      <c r="AF107" s="819"/>
      <c r="AG107" s="819"/>
      <c r="AH107" s="819"/>
      <c r="AI107" s="819"/>
      <c r="AJ107" s="819"/>
      <c r="AK107" s="819"/>
      <c r="AL107" s="819"/>
      <c r="AM107" s="819"/>
      <c r="AN107" s="819"/>
      <c r="AO107" s="819"/>
      <c r="AP107" s="819"/>
      <c r="AQ107" s="819"/>
      <c r="AR107" s="819"/>
      <c r="AS107" s="819"/>
      <c r="AT107" s="819"/>
      <c r="AU107" s="819"/>
      <c r="AV107" s="819"/>
      <c r="AW107" s="819"/>
      <c r="AX107" s="819"/>
      <c r="AY107" s="819"/>
      <c r="AZ107" s="819"/>
      <c r="BA107" s="819"/>
    </row>
    <row r="108" spans="1:54" ht="14.1" customHeight="1" thickBot="1">
      <c r="B108" s="819"/>
      <c r="C108" s="548"/>
      <c r="D108" s="819"/>
      <c r="E108" s="819"/>
      <c r="F108" s="819"/>
      <c r="G108" s="819"/>
      <c r="H108" s="819"/>
      <c r="I108" s="819"/>
      <c r="J108" s="819"/>
      <c r="K108" s="819"/>
      <c r="L108" s="1336"/>
      <c r="M108" s="819"/>
      <c r="N108" s="819"/>
      <c r="O108" s="819"/>
      <c r="P108" s="819"/>
      <c r="Q108" s="819"/>
      <c r="R108" s="819"/>
      <c r="S108" s="819"/>
      <c r="T108" s="819"/>
      <c r="U108" s="819"/>
      <c r="V108" s="819"/>
      <c r="W108" s="819"/>
      <c r="X108" s="819"/>
      <c r="Y108" s="819"/>
      <c r="Z108" s="819"/>
      <c r="AA108" s="819"/>
      <c r="AB108" s="819"/>
      <c r="AC108" s="819"/>
      <c r="AE108" s="819"/>
      <c r="AF108" s="819"/>
      <c r="AG108" s="819"/>
      <c r="AH108" s="819"/>
      <c r="AI108" s="819"/>
      <c r="AJ108" s="819"/>
      <c r="AK108" s="819"/>
      <c r="AL108" s="819"/>
      <c r="AM108" s="819"/>
      <c r="AN108" s="819"/>
      <c r="AO108" s="819"/>
      <c r="AP108" s="819"/>
      <c r="AQ108" s="819"/>
      <c r="AR108" s="819"/>
      <c r="AS108" s="819"/>
      <c r="AT108" s="819"/>
      <c r="AU108" s="819"/>
      <c r="AV108" s="819"/>
      <c r="AW108" s="819"/>
      <c r="AX108" s="819"/>
      <c r="AY108" s="819"/>
      <c r="AZ108" s="819"/>
      <c r="BA108" s="819"/>
    </row>
    <row r="109" spans="1:54" ht="14.1" customHeight="1" thickTop="1" thickBot="1">
      <c r="B109" s="819"/>
      <c r="C109" s="549"/>
      <c r="D109" s="1408"/>
      <c r="E109" s="2007" t="s">
        <v>1479</v>
      </c>
      <c r="F109" s="1408"/>
      <c r="G109" s="1332"/>
      <c r="H109" s="1332"/>
      <c r="I109" s="1332"/>
      <c r="J109" s="2009" t="s">
        <v>1481</v>
      </c>
      <c r="K109" s="1408"/>
      <c r="L109" s="1333"/>
      <c r="M109" s="819"/>
      <c r="N109" s="819"/>
      <c r="O109" s="819"/>
      <c r="P109" s="819"/>
      <c r="Q109" s="819"/>
      <c r="R109" s="819"/>
      <c r="S109" s="819"/>
      <c r="T109" s="819"/>
      <c r="U109" s="819"/>
      <c r="V109" s="819"/>
      <c r="W109" s="819"/>
      <c r="X109" s="819"/>
      <c r="Y109" s="819"/>
      <c r="Z109" s="819"/>
      <c r="AA109" s="819"/>
      <c r="AB109" s="819"/>
      <c r="AC109" s="819"/>
      <c r="AE109" s="819"/>
      <c r="AF109" s="819"/>
      <c r="AG109" s="819"/>
      <c r="AH109" s="819"/>
      <c r="AI109" s="819"/>
      <c r="AJ109" s="819"/>
      <c r="AK109" s="819"/>
      <c r="AL109" s="819"/>
      <c r="AM109" s="819"/>
      <c r="AN109" s="819"/>
      <c r="AO109" s="819"/>
      <c r="AP109" s="819"/>
      <c r="AQ109" s="819"/>
      <c r="AR109" s="819"/>
      <c r="AS109" s="819"/>
      <c r="AT109" s="819"/>
      <c r="AU109" s="819"/>
      <c r="AV109" s="819"/>
      <c r="AW109" s="819"/>
      <c r="AX109" s="819"/>
      <c r="AY109" s="819"/>
      <c r="AZ109" s="819"/>
      <c r="BA109" s="819"/>
    </row>
    <row r="110" spans="1:54" ht="14.1" customHeight="1" thickTop="1" thickBot="1">
      <c r="B110" s="819"/>
      <c r="C110" s="548"/>
      <c r="D110" s="819"/>
      <c r="E110" s="2007"/>
      <c r="F110" s="819"/>
      <c r="G110" s="554"/>
      <c r="H110" s="819"/>
      <c r="I110" s="819"/>
      <c r="J110" s="2010"/>
      <c r="K110" s="819"/>
      <c r="L110" s="554"/>
      <c r="M110" s="819"/>
      <c r="N110" s="819"/>
      <c r="O110" s="819"/>
      <c r="P110" s="819"/>
      <c r="Q110" s="819"/>
      <c r="R110" s="819"/>
      <c r="S110" s="819"/>
      <c r="T110" s="819"/>
      <c r="U110" s="819"/>
      <c r="V110" s="819"/>
      <c r="W110" s="819"/>
      <c r="X110" s="819"/>
      <c r="Y110" s="819"/>
      <c r="Z110" s="819"/>
      <c r="AA110" s="819"/>
      <c r="AB110" s="819"/>
      <c r="AC110" s="819"/>
      <c r="AE110" s="819"/>
      <c r="AF110" s="819"/>
      <c r="AG110" s="819"/>
      <c r="AH110" s="819"/>
      <c r="AI110" s="819"/>
      <c r="AJ110" s="819"/>
      <c r="AK110" s="819"/>
      <c r="AL110" s="819"/>
      <c r="AM110" s="819"/>
      <c r="AN110" s="819"/>
      <c r="AO110" s="819"/>
      <c r="AP110" s="819"/>
      <c r="AQ110" s="819"/>
      <c r="AR110" s="819"/>
      <c r="AS110" s="819"/>
      <c r="AT110" s="819"/>
      <c r="AU110" s="819"/>
      <c r="AV110" s="819"/>
      <c r="AW110" s="819"/>
      <c r="AX110" s="819"/>
      <c r="AY110" s="819"/>
      <c r="AZ110" s="819"/>
      <c r="BA110" s="819"/>
    </row>
    <row r="111" spans="1:54" ht="14.1" customHeight="1">
      <c r="B111" s="819"/>
      <c r="C111" s="548"/>
      <c r="D111" s="819"/>
      <c r="E111" s="819"/>
      <c r="F111" s="819"/>
      <c r="G111" s="554"/>
      <c r="H111" s="819"/>
      <c r="I111" s="819"/>
      <c r="J111" s="819"/>
      <c r="K111" s="819"/>
      <c r="L111" s="1336"/>
      <c r="M111" s="819"/>
      <c r="N111" s="819"/>
      <c r="O111" s="819"/>
      <c r="P111" s="819"/>
      <c r="Q111" s="819"/>
      <c r="R111" s="819"/>
      <c r="S111" s="819"/>
      <c r="T111" s="819"/>
      <c r="U111" s="819"/>
      <c r="V111" s="819"/>
      <c r="W111" s="819"/>
      <c r="X111" s="819"/>
      <c r="Y111" s="819"/>
      <c r="Z111" s="819"/>
      <c r="AA111" s="819"/>
      <c r="AB111" s="819"/>
      <c r="AC111" s="819"/>
      <c r="AE111" s="819"/>
      <c r="AF111" s="819"/>
      <c r="AG111" s="819"/>
      <c r="AH111" s="819"/>
      <c r="AI111" s="819"/>
      <c r="AJ111" s="819"/>
      <c r="AK111" s="819"/>
      <c r="AL111" s="819"/>
      <c r="AM111" s="819"/>
      <c r="AN111" s="819"/>
      <c r="AO111" s="819"/>
      <c r="AP111" s="819"/>
      <c r="AQ111" s="819"/>
      <c r="AR111" s="819"/>
      <c r="AS111" s="819"/>
      <c r="AT111" s="819"/>
      <c r="AU111" s="819"/>
      <c r="AV111" s="819"/>
      <c r="AW111" s="819"/>
      <c r="AX111" s="819"/>
      <c r="AY111" s="819"/>
      <c r="AZ111" s="819"/>
      <c r="BA111" s="819"/>
    </row>
    <row r="112" spans="1:54" ht="14.1" customHeight="1">
      <c r="B112" s="819"/>
      <c r="C112" s="548"/>
      <c r="D112" s="819"/>
      <c r="E112" s="819"/>
      <c r="F112" s="819"/>
      <c r="G112" s="554"/>
      <c r="H112" s="819"/>
      <c r="I112" s="819"/>
      <c r="J112" s="819"/>
      <c r="K112" s="819"/>
      <c r="L112" s="1336"/>
      <c r="M112" s="819"/>
      <c r="N112" s="819"/>
      <c r="O112" s="819"/>
      <c r="P112" s="819"/>
      <c r="Q112" s="819"/>
      <c r="R112" s="819"/>
      <c r="S112" s="819"/>
      <c r="T112" s="819"/>
      <c r="U112" s="819"/>
      <c r="V112" s="819"/>
      <c r="W112" s="819"/>
      <c r="X112" s="819"/>
      <c r="Y112" s="819"/>
      <c r="Z112" s="819"/>
      <c r="AA112" s="819"/>
      <c r="AB112" s="819"/>
      <c r="AC112" s="819"/>
      <c r="AE112" s="819"/>
      <c r="AF112" s="819"/>
      <c r="AG112" s="819"/>
      <c r="AH112" s="819"/>
      <c r="AI112" s="819"/>
      <c r="AJ112" s="819"/>
      <c r="AK112" s="819"/>
      <c r="AL112" s="819"/>
      <c r="AM112" s="819"/>
      <c r="AN112" s="819"/>
      <c r="AO112" s="819"/>
      <c r="AP112" s="819"/>
      <c r="AQ112" s="819"/>
      <c r="AR112" s="819"/>
      <c r="AS112" s="819"/>
      <c r="AT112" s="819"/>
      <c r="AU112" s="819"/>
      <c r="AV112" s="819"/>
      <c r="AW112" s="819"/>
      <c r="AX112" s="819"/>
      <c r="AY112" s="819"/>
      <c r="AZ112" s="819"/>
      <c r="BA112" s="819"/>
    </row>
    <row r="113" spans="1:54" ht="14.1" customHeight="1">
      <c r="B113" s="819"/>
      <c r="C113" s="548"/>
      <c r="D113" s="819"/>
      <c r="E113" s="819"/>
      <c r="F113" s="819"/>
      <c r="G113" s="2012" t="s">
        <v>338</v>
      </c>
      <c r="H113" s="2012"/>
      <c r="I113" s="819"/>
      <c r="J113" s="819"/>
      <c r="K113" s="819"/>
      <c r="L113" s="1336"/>
      <c r="M113" s="819"/>
      <c r="N113" s="819"/>
      <c r="O113" s="819"/>
      <c r="P113" s="819"/>
      <c r="Q113" s="819"/>
      <c r="R113" s="819"/>
      <c r="S113" s="819"/>
      <c r="T113" s="819"/>
      <c r="U113" s="819"/>
      <c r="V113" s="819"/>
      <c r="W113" s="819"/>
      <c r="X113" s="819"/>
      <c r="Y113" s="819"/>
      <c r="Z113" s="819"/>
      <c r="AA113" s="819"/>
      <c r="AB113" s="819"/>
      <c r="AC113" s="819"/>
      <c r="AE113" s="819"/>
      <c r="AF113" s="819"/>
      <c r="AG113" s="819"/>
      <c r="AH113" s="819"/>
      <c r="AI113" s="819"/>
      <c r="AJ113" s="819"/>
      <c r="AK113" s="819"/>
      <c r="AL113" s="819"/>
      <c r="AM113" s="819"/>
      <c r="AN113" s="819"/>
      <c r="AO113" s="819"/>
      <c r="AP113" s="819"/>
      <c r="AQ113" s="819"/>
      <c r="AR113" s="819"/>
      <c r="AS113" s="819"/>
      <c r="AT113" s="819"/>
      <c r="AU113" s="819"/>
      <c r="AV113" s="819"/>
      <c r="AW113" s="819"/>
      <c r="AX113" s="819"/>
      <c r="AY113" s="819"/>
      <c r="AZ113" s="819"/>
      <c r="BA113" s="819"/>
    </row>
    <row r="114" spans="1:54" ht="14.1" customHeight="1" thickBot="1">
      <c r="A114" s="1403"/>
      <c r="B114" s="1403"/>
      <c r="C114" s="548"/>
      <c r="D114" s="1403"/>
      <c r="E114" s="1403"/>
      <c r="M114" s="548"/>
      <c r="O114" s="819"/>
      <c r="P114" s="819"/>
      <c r="Q114" s="819"/>
      <c r="R114" s="819"/>
      <c r="S114" s="819"/>
      <c r="T114" s="819"/>
      <c r="U114" s="819"/>
      <c r="V114" s="819"/>
      <c r="W114" s="819"/>
      <c r="X114" s="819"/>
      <c r="Y114" s="819"/>
      <c r="Z114" s="819"/>
      <c r="AA114" s="819"/>
      <c r="AB114" s="819"/>
      <c r="AC114" s="819"/>
      <c r="AE114" s="819"/>
      <c r="AF114" s="819"/>
      <c r="AG114" s="819"/>
      <c r="AH114" s="819"/>
      <c r="AI114" s="819"/>
      <c r="AJ114" s="819"/>
      <c r="AK114" s="819"/>
      <c r="AL114" s="819"/>
      <c r="AM114" s="819"/>
      <c r="AN114" s="819"/>
      <c r="AO114" s="819"/>
      <c r="AP114" s="819"/>
      <c r="AQ114" s="819"/>
      <c r="AR114" s="819"/>
      <c r="AS114" s="819"/>
      <c r="AT114" s="819"/>
      <c r="AU114" s="819"/>
      <c r="AV114" s="819"/>
      <c r="AW114" s="819"/>
      <c r="AX114" s="819"/>
      <c r="AY114" s="819"/>
      <c r="AZ114" s="819"/>
      <c r="BA114" s="819"/>
    </row>
    <row r="115" spans="1:54" ht="14.1" customHeight="1" thickTop="1" thickBot="1">
      <c r="A115" s="1403"/>
      <c r="B115" s="1403"/>
      <c r="C115" s="549"/>
      <c r="D115" s="1408"/>
      <c r="E115" s="2007" t="s">
        <v>1475</v>
      </c>
      <c r="F115" s="1408"/>
      <c r="G115" s="1332"/>
      <c r="H115" s="1408"/>
      <c r="I115" s="1332"/>
      <c r="J115" s="2009" t="s">
        <v>1478</v>
      </c>
      <c r="K115" s="1408"/>
      <c r="L115" s="1332"/>
      <c r="M115" s="548"/>
      <c r="O115" s="819"/>
      <c r="P115" s="819"/>
      <c r="Q115" s="819"/>
      <c r="R115" s="819"/>
      <c r="S115" s="819"/>
      <c r="T115" s="819"/>
      <c r="U115" s="819"/>
      <c r="V115" s="819"/>
      <c r="W115" s="819"/>
      <c r="X115" s="819"/>
      <c r="Y115" s="819"/>
      <c r="Z115" s="819"/>
      <c r="AA115" s="819"/>
      <c r="AB115" s="819"/>
      <c r="AC115" s="819"/>
      <c r="AE115" s="819"/>
      <c r="AF115" s="819"/>
      <c r="AG115" s="819"/>
      <c r="AH115" s="819"/>
      <c r="AI115" s="819"/>
      <c r="AJ115" s="819"/>
      <c r="AK115" s="819"/>
      <c r="AL115" s="819"/>
      <c r="AM115" s="819"/>
      <c r="AN115" s="819"/>
      <c r="AO115" s="819"/>
      <c r="AP115" s="819"/>
      <c r="AQ115" s="819"/>
      <c r="AR115" s="819"/>
      <c r="AS115" s="819"/>
      <c r="AT115" s="819"/>
      <c r="AU115" s="819"/>
      <c r="AV115" s="819"/>
      <c r="AW115" s="819"/>
      <c r="AX115" s="819"/>
      <c r="AY115" s="819"/>
      <c r="AZ115" s="819"/>
      <c r="BB115" s="819"/>
    </row>
    <row r="116" spans="1:54" ht="12.75" customHeight="1" thickTop="1" thickBot="1">
      <c r="A116" s="1403"/>
      <c r="B116" s="1403"/>
      <c r="C116" s="558"/>
      <c r="D116" s="559"/>
      <c r="E116" s="2007"/>
      <c r="G116" s="553"/>
      <c r="H116" s="558"/>
      <c r="J116" s="2010"/>
      <c r="L116" s="554"/>
      <c r="M116" s="548"/>
      <c r="O116" s="819"/>
      <c r="P116" s="819"/>
      <c r="Q116" s="819"/>
      <c r="R116" s="819"/>
      <c r="S116" s="819"/>
      <c r="T116" s="819"/>
      <c r="U116" s="819"/>
      <c r="V116" s="819"/>
      <c r="W116" s="819"/>
      <c r="X116" s="819"/>
      <c r="Y116" s="819"/>
      <c r="Z116" s="819"/>
      <c r="AA116" s="819"/>
      <c r="AB116" s="819"/>
      <c r="AC116" s="819"/>
      <c r="AE116" s="819"/>
      <c r="AF116" s="819"/>
      <c r="AG116" s="819"/>
      <c r="AH116" s="819"/>
      <c r="AI116" s="819"/>
      <c r="AJ116" s="819"/>
      <c r="AK116" s="819"/>
      <c r="AL116" s="819"/>
      <c r="AM116" s="819"/>
      <c r="AN116" s="819"/>
      <c r="AO116" s="819"/>
      <c r="AP116" s="819"/>
      <c r="AQ116" s="819"/>
      <c r="AR116" s="819"/>
      <c r="AS116" s="819"/>
      <c r="AT116" s="819"/>
      <c r="AU116" s="819"/>
      <c r="AV116" s="819"/>
      <c r="AW116" s="819"/>
      <c r="AX116" s="819"/>
      <c r="AY116" s="819"/>
      <c r="AZ116" s="819"/>
      <c r="BB116" s="819"/>
    </row>
    <row r="117" spans="1:54" ht="12.75" customHeight="1">
      <c r="A117" s="1403"/>
      <c r="B117" s="1403"/>
      <c r="C117" s="548"/>
      <c r="D117" s="1403"/>
      <c r="G117" s="554"/>
      <c r="H117" s="552"/>
      <c r="I117" s="819"/>
      <c r="L117" s="554"/>
      <c r="M117" s="548"/>
      <c r="O117" s="819"/>
      <c r="P117" s="819"/>
      <c r="Q117" s="819"/>
      <c r="R117" s="819"/>
      <c r="S117" s="819"/>
      <c r="T117" s="819"/>
      <c r="U117" s="819"/>
      <c r="V117" s="819"/>
      <c r="W117" s="819"/>
      <c r="X117" s="819"/>
      <c r="Y117" s="819"/>
      <c r="Z117" s="819"/>
      <c r="AA117" s="819"/>
      <c r="AB117" s="819"/>
      <c r="AC117" s="819"/>
      <c r="AE117" s="819"/>
      <c r="AF117" s="819"/>
      <c r="AG117" s="819"/>
      <c r="AH117" s="819"/>
      <c r="AI117" s="819"/>
      <c r="AJ117" s="819"/>
      <c r="AK117" s="819"/>
      <c r="AL117" s="819"/>
      <c r="AM117" s="819"/>
      <c r="AN117" s="819"/>
      <c r="AO117" s="819"/>
      <c r="AP117" s="819"/>
      <c r="AQ117" s="819"/>
      <c r="AR117" s="819"/>
      <c r="AS117" s="819"/>
      <c r="AT117" s="819"/>
      <c r="AU117" s="819"/>
      <c r="AV117" s="819"/>
      <c r="AW117" s="819"/>
      <c r="AX117" s="819"/>
      <c r="AY117" s="819"/>
      <c r="AZ117" s="819"/>
      <c r="BB117" s="819"/>
    </row>
    <row r="118" spans="1:54" ht="14.1" customHeight="1">
      <c r="A118" s="1403"/>
      <c r="C118" s="552"/>
      <c r="G118" s="567"/>
      <c r="H118" s="570"/>
      <c r="I118" s="819"/>
      <c r="L118" s="567"/>
      <c r="M118" s="552"/>
      <c r="O118" s="819"/>
      <c r="P118" s="819"/>
      <c r="Q118" s="819"/>
      <c r="R118" s="819"/>
      <c r="S118" s="819"/>
      <c r="T118" s="819"/>
      <c r="U118" s="819"/>
      <c r="V118" s="819"/>
      <c r="W118" s="819"/>
      <c r="X118" s="819"/>
      <c r="Y118" s="819"/>
      <c r="Z118" s="819"/>
      <c r="AA118" s="819"/>
      <c r="AB118" s="819"/>
      <c r="AC118" s="819"/>
      <c r="AE118" s="819"/>
      <c r="AF118" s="819"/>
      <c r="AG118" s="819"/>
      <c r="AH118" s="819"/>
      <c r="AI118" s="819"/>
      <c r="AJ118" s="819"/>
      <c r="AK118" s="819"/>
      <c r="AL118" s="819"/>
      <c r="AM118" s="819"/>
      <c r="AN118" s="819"/>
      <c r="AO118" s="819"/>
      <c r="AP118" s="819"/>
      <c r="AQ118" s="819"/>
      <c r="AR118" s="819"/>
      <c r="AS118" s="819"/>
      <c r="AT118" s="819"/>
      <c r="AU118" s="819"/>
      <c r="AV118" s="819"/>
      <c r="AW118" s="819"/>
      <c r="AX118" s="819"/>
      <c r="AY118" s="819"/>
      <c r="AZ118" s="819"/>
      <c r="BB118" s="819"/>
    </row>
    <row r="119" spans="1:54" ht="14.1" customHeight="1">
      <c r="A119" s="1403"/>
      <c r="B119" s="554"/>
      <c r="C119" s="552"/>
      <c r="G119" s="2012" t="s">
        <v>341</v>
      </c>
      <c r="H119" s="2012"/>
      <c r="I119" s="819"/>
      <c r="K119" s="819"/>
      <c r="L119" s="1336"/>
      <c r="M119" s="1337"/>
      <c r="O119" s="819"/>
      <c r="P119" s="819"/>
      <c r="Q119" s="819"/>
      <c r="R119" s="819"/>
      <c r="S119" s="819"/>
      <c r="T119" s="819"/>
      <c r="U119" s="819"/>
      <c r="V119" s="819"/>
      <c r="W119" s="819"/>
      <c r="X119" s="819"/>
      <c r="Y119" s="819"/>
      <c r="Z119" s="819"/>
      <c r="AA119" s="819"/>
      <c r="AB119" s="819"/>
      <c r="AC119" s="819"/>
      <c r="AE119" s="819"/>
      <c r="AF119" s="819"/>
      <c r="AG119" s="819"/>
      <c r="AH119" s="819"/>
      <c r="AI119" s="819"/>
      <c r="AJ119" s="819"/>
      <c r="AK119" s="819"/>
      <c r="AL119" s="819"/>
      <c r="AM119" s="819"/>
      <c r="AN119" s="819"/>
      <c r="AO119" s="819"/>
      <c r="AP119" s="819"/>
      <c r="AQ119" s="819"/>
      <c r="AR119" s="819"/>
      <c r="AS119" s="819"/>
      <c r="AT119" s="819"/>
      <c r="AU119" s="819"/>
      <c r="AV119" s="819"/>
      <c r="AW119" s="819"/>
      <c r="AX119" s="819"/>
      <c r="AY119" s="819"/>
      <c r="AZ119" s="819"/>
      <c r="BB119" s="819"/>
    </row>
    <row r="120" spans="1:54" ht="12.75" customHeight="1" thickBot="1">
      <c r="A120" s="1403"/>
      <c r="B120" s="1403"/>
      <c r="C120" s="548"/>
      <c r="D120" s="1403"/>
      <c r="E120" s="1403"/>
      <c r="L120" s="554"/>
      <c r="M120" s="1337"/>
      <c r="O120" s="819"/>
      <c r="P120" s="819"/>
      <c r="Q120" s="819"/>
      <c r="R120" s="819"/>
      <c r="S120" s="819"/>
      <c r="T120" s="819"/>
      <c r="U120" s="819"/>
      <c r="V120" s="819"/>
      <c r="W120" s="819"/>
      <c r="X120" s="819"/>
      <c r="Y120" s="819"/>
      <c r="Z120" s="819"/>
      <c r="AA120" s="819"/>
      <c r="AB120" s="819"/>
      <c r="AC120" s="819"/>
      <c r="AE120" s="819"/>
      <c r="AF120" s="819"/>
      <c r="AG120" s="819"/>
      <c r="AH120" s="819"/>
      <c r="AI120" s="819"/>
      <c r="AJ120" s="819"/>
      <c r="AK120" s="819"/>
      <c r="AL120" s="819"/>
      <c r="AM120" s="819"/>
      <c r="AN120" s="819"/>
      <c r="AO120" s="819"/>
      <c r="AP120" s="819"/>
      <c r="AQ120" s="819"/>
      <c r="AR120" s="819"/>
      <c r="AS120" s="819"/>
      <c r="AT120" s="819"/>
      <c r="AU120" s="819"/>
      <c r="AV120" s="819"/>
      <c r="AW120" s="819"/>
      <c r="AX120" s="819"/>
      <c r="AY120" s="819"/>
      <c r="AZ120" s="819"/>
      <c r="BB120" s="819"/>
    </row>
    <row r="121" spans="1:54" ht="12.75" customHeight="1" thickTop="1" thickBot="1">
      <c r="A121" s="1403"/>
      <c r="B121" s="1403"/>
      <c r="C121" s="549"/>
      <c r="D121" s="568"/>
      <c r="E121" s="2015" t="s">
        <v>69</v>
      </c>
      <c r="F121" s="549"/>
      <c r="G121" s="1332"/>
      <c r="H121" s="1332"/>
      <c r="I121" s="1408"/>
      <c r="J121" s="2007" t="s">
        <v>1473</v>
      </c>
      <c r="K121" s="1408"/>
      <c r="L121" s="1333"/>
      <c r="M121" s="1337"/>
      <c r="O121" s="819"/>
      <c r="P121" s="819"/>
      <c r="Q121" s="819"/>
      <c r="R121" s="819"/>
      <c r="S121" s="819"/>
      <c r="T121" s="819"/>
      <c r="U121" s="819"/>
      <c r="V121" s="819"/>
      <c r="W121" s="819"/>
      <c r="X121" s="819"/>
      <c r="Y121" s="819"/>
      <c r="Z121" s="819"/>
      <c r="AA121" s="819"/>
      <c r="AB121" s="819"/>
      <c r="AC121" s="819"/>
      <c r="AE121" s="819"/>
      <c r="AF121" s="819"/>
      <c r="AG121" s="819"/>
      <c r="AH121" s="819"/>
      <c r="AI121" s="819"/>
      <c r="AJ121" s="819"/>
      <c r="AK121" s="819"/>
      <c r="AL121" s="819"/>
      <c r="AM121" s="819"/>
      <c r="AN121" s="819"/>
      <c r="AO121" s="819"/>
      <c r="AP121" s="819"/>
      <c r="AQ121" s="819"/>
      <c r="AR121" s="819"/>
      <c r="AS121" s="819"/>
      <c r="AT121" s="819"/>
      <c r="AU121" s="819"/>
      <c r="AV121" s="819"/>
      <c r="AW121" s="819"/>
      <c r="AX121" s="819"/>
      <c r="AY121" s="819"/>
      <c r="AZ121" s="819"/>
      <c r="BB121" s="819"/>
    </row>
    <row r="122" spans="1:54" ht="14.1" customHeight="1" thickTop="1" thickBot="1">
      <c r="A122" s="1403"/>
      <c r="B122" s="1403"/>
      <c r="C122" s="558"/>
      <c r="D122" s="569"/>
      <c r="E122" s="2016"/>
      <c r="G122" s="554"/>
      <c r="J122" s="2007"/>
      <c r="L122" s="554"/>
      <c r="M122" s="1337"/>
      <c r="O122" s="819"/>
      <c r="P122" s="819"/>
      <c r="Q122" s="819"/>
      <c r="R122" s="819"/>
      <c r="S122" s="819"/>
      <c r="T122" s="819"/>
      <c r="U122" s="819"/>
      <c r="V122" s="819"/>
      <c r="W122" s="819"/>
      <c r="X122" s="819"/>
      <c r="Y122" s="819"/>
      <c r="Z122" s="819"/>
      <c r="AA122" s="819"/>
      <c r="AB122" s="819"/>
      <c r="AC122" s="819"/>
      <c r="AE122" s="819"/>
      <c r="AF122" s="819"/>
      <c r="AG122" s="819"/>
      <c r="AH122" s="819"/>
      <c r="AI122" s="819"/>
      <c r="AJ122" s="819"/>
      <c r="AK122" s="819"/>
      <c r="AL122" s="819"/>
      <c r="AM122" s="819"/>
      <c r="AN122" s="819"/>
      <c r="AO122" s="819"/>
      <c r="AP122" s="819"/>
      <c r="AQ122" s="819"/>
      <c r="AR122" s="819"/>
      <c r="AS122" s="819"/>
      <c r="AT122" s="819"/>
      <c r="AU122" s="819"/>
      <c r="AV122" s="819"/>
      <c r="AW122" s="819"/>
      <c r="AX122" s="819"/>
      <c r="AY122" s="819"/>
      <c r="AZ122" s="819"/>
      <c r="BB122" s="819"/>
    </row>
    <row r="123" spans="1:54" ht="14.1" customHeight="1" thickTop="1">
      <c r="A123" s="1403"/>
      <c r="B123" s="1403"/>
      <c r="C123" s="548"/>
      <c r="D123" s="1403"/>
      <c r="E123" s="1403"/>
      <c r="G123" s="554"/>
      <c r="L123" s="554"/>
      <c r="M123" s="819"/>
      <c r="O123" s="819"/>
      <c r="P123" s="819"/>
      <c r="Q123" s="819"/>
      <c r="R123" s="819"/>
      <c r="S123" s="819"/>
      <c r="T123" s="819"/>
      <c r="U123" s="819"/>
      <c r="V123" s="819"/>
      <c r="W123" s="819"/>
      <c r="X123" s="819"/>
      <c r="Y123" s="819"/>
      <c r="Z123" s="819"/>
      <c r="AA123" s="819"/>
      <c r="AB123" s="819"/>
      <c r="AC123" s="819"/>
      <c r="AE123" s="819"/>
      <c r="AF123" s="819"/>
      <c r="AG123" s="819"/>
      <c r="AH123" s="819"/>
      <c r="AI123" s="819"/>
      <c r="AJ123" s="819"/>
      <c r="AK123" s="819"/>
      <c r="AL123" s="819"/>
      <c r="AM123" s="819"/>
      <c r="AN123" s="819"/>
      <c r="AO123" s="819"/>
      <c r="AP123" s="819"/>
      <c r="AQ123" s="819"/>
      <c r="AR123" s="819"/>
      <c r="AS123" s="819"/>
      <c r="AT123" s="819"/>
      <c r="AU123" s="819"/>
      <c r="AV123" s="819"/>
      <c r="AW123" s="819"/>
      <c r="AX123" s="819"/>
      <c r="AY123" s="819"/>
      <c r="AZ123" s="819"/>
      <c r="BB123" s="819"/>
    </row>
    <row r="124" spans="1:54" ht="12.75" customHeight="1">
      <c r="A124" s="1403"/>
      <c r="C124" s="552"/>
      <c r="G124" s="567"/>
      <c r="H124" s="533"/>
      <c r="L124" s="567"/>
      <c r="M124" s="819"/>
      <c r="O124" s="819"/>
      <c r="P124" s="819"/>
      <c r="Q124" s="819"/>
      <c r="R124" s="819"/>
      <c r="S124" s="819"/>
      <c r="T124" s="819"/>
      <c r="U124" s="819"/>
      <c r="V124" s="819"/>
      <c r="W124" s="819"/>
      <c r="X124" s="819"/>
      <c r="Y124" s="819"/>
      <c r="Z124" s="819"/>
      <c r="AA124" s="819"/>
      <c r="AB124" s="819"/>
      <c r="AC124" s="819"/>
      <c r="AE124" s="819"/>
      <c r="AF124" s="819"/>
      <c r="AG124" s="819"/>
      <c r="AH124" s="819"/>
      <c r="AI124" s="819"/>
      <c r="AJ124" s="819"/>
      <c r="AK124" s="819"/>
      <c r="AL124" s="819"/>
      <c r="AM124" s="819"/>
      <c r="AN124" s="819"/>
      <c r="AO124" s="819"/>
      <c r="AP124" s="819"/>
      <c r="AQ124" s="819"/>
      <c r="AR124" s="819"/>
      <c r="AS124" s="819"/>
      <c r="AT124" s="819"/>
      <c r="AU124" s="819"/>
      <c r="AV124" s="819"/>
      <c r="AW124" s="819"/>
      <c r="AX124" s="819"/>
      <c r="AY124" s="819"/>
      <c r="AZ124" s="819"/>
      <c r="BB124" s="819"/>
    </row>
    <row r="125" spans="1:54" ht="12.75" customHeight="1">
      <c r="A125" s="1403"/>
      <c r="B125" s="2011" t="s">
        <v>349</v>
      </c>
      <c r="C125" s="2011"/>
      <c r="G125" s="2012" t="s">
        <v>334</v>
      </c>
      <c r="H125" s="2012"/>
      <c r="I125" s="819"/>
      <c r="J125" s="819"/>
      <c r="K125" s="819"/>
      <c r="L125" s="819"/>
      <c r="M125" s="819"/>
      <c r="O125" s="819"/>
      <c r="P125" s="819"/>
      <c r="Q125" s="819"/>
      <c r="R125" s="819"/>
      <c r="S125" s="819"/>
      <c r="T125" s="819"/>
      <c r="U125" s="819"/>
      <c r="V125" s="819"/>
      <c r="W125" s="819"/>
      <c r="X125" s="819"/>
      <c r="Y125" s="819"/>
      <c r="Z125" s="819"/>
      <c r="AA125" s="819"/>
      <c r="AB125" s="819"/>
      <c r="AC125" s="819"/>
      <c r="AE125" s="819"/>
      <c r="AF125" s="819"/>
      <c r="AG125" s="819"/>
      <c r="AH125" s="819"/>
      <c r="AI125" s="819"/>
      <c r="AJ125" s="819"/>
      <c r="AK125" s="819"/>
      <c r="AL125" s="819"/>
      <c r="AM125" s="819"/>
      <c r="AN125" s="819"/>
      <c r="AO125" s="819"/>
      <c r="AP125" s="819"/>
      <c r="AQ125" s="819"/>
      <c r="AR125" s="819"/>
      <c r="AS125" s="819"/>
      <c r="AT125" s="819"/>
      <c r="AU125" s="819"/>
      <c r="AV125" s="819"/>
      <c r="AW125" s="819"/>
      <c r="AX125" s="819"/>
      <c r="AY125" s="819"/>
      <c r="AZ125" s="819"/>
      <c r="BB125" s="819"/>
    </row>
    <row r="126" spans="1:54" ht="14.1" customHeight="1">
      <c r="A126" s="1403"/>
      <c r="B126" s="2011"/>
      <c r="C126" s="2011"/>
      <c r="G126" s="819"/>
      <c r="H126" s="819"/>
      <c r="I126" s="819"/>
      <c r="J126" s="819"/>
      <c r="K126" s="819"/>
      <c r="L126" s="819"/>
      <c r="M126" s="819"/>
      <c r="O126" s="819"/>
      <c r="P126" s="819"/>
      <c r="Q126" s="819"/>
      <c r="R126" s="819"/>
      <c r="S126" s="819"/>
      <c r="T126" s="819"/>
      <c r="U126" s="819"/>
      <c r="V126" s="819"/>
      <c r="W126" s="819"/>
      <c r="X126" s="819"/>
      <c r="Y126" s="819"/>
      <c r="Z126" s="819"/>
      <c r="AA126" s="819"/>
      <c r="AB126" s="819"/>
      <c r="AC126" s="819"/>
      <c r="AE126" s="819"/>
      <c r="AF126" s="819"/>
      <c r="AG126" s="819"/>
      <c r="AH126" s="819"/>
      <c r="AI126" s="819"/>
      <c r="AJ126" s="819"/>
      <c r="AK126" s="819"/>
      <c r="AL126" s="819"/>
      <c r="AM126" s="819"/>
      <c r="AN126" s="819"/>
      <c r="AO126" s="819"/>
      <c r="AP126" s="819"/>
      <c r="AQ126" s="819"/>
      <c r="AR126" s="819"/>
      <c r="AS126" s="819"/>
      <c r="AT126" s="819"/>
      <c r="AU126" s="819"/>
      <c r="AV126" s="819"/>
      <c r="AW126" s="819"/>
      <c r="AX126" s="819"/>
      <c r="AY126" s="819"/>
      <c r="AZ126" s="819"/>
      <c r="BB126" s="819"/>
    </row>
    <row r="127" spans="1:54" ht="14.1" customHeight="1">
      <c r="A127" s="1403"/>
      <c r="C127" s="819"/>
      <c r="D127" s="819"/>
      <c r="G127" s="819"/>
      <c r="H127" s="819"/>
      <c r="I127" s="819"/>
      <c r="J127" s="819"/>
      <c r="K127" s="819"/>
      <c r="L127" s="819"/>
      <c r="M127" s="819"/>
      <c r="O127" s="819"/>
      <c r="P127" s="819"/>
      <c r="Q127" s="819"/>
      <c r="R127" s="819"/>
      <c r="S127" s="819"/>
      <c r="T127" s="819"/>
      <c r="U127" s="819"/>
      <c r="V127" s="819"/>
      <c r="W127" s="819"/>
      <c r="X127" s="819"/>
      <c r="Y127" s="819"/>
      <c r="Z127" s="819"/>
      <c r="AA127" s="819"/>
      <c r="AB127" s="819"/>
      <c r="AC127" s="819"/>
      <c r="AE127" s="819"/>
      <c r="AF127" s="819"/>
      <c r="AG127" s="819"/>
      <c r="AH127" s="819"/>
      <c r="AI127" s="819"/>
      <c r="AJ127" s="819"/>
      <c r="AK127" s="819"/>
      <c r="AL127" s="819"/>
      <c r="AM127" s="819"/>
      <c r="AN127" s="819"/>
      <c r="AO127" s="819"/>
      <c r="AP127" s="819"/>
      <c r="AQ127" s="819"/>
      <c r="AR127" s="819"/>
      <c r="AS127" s="819"/>
      <c r="AT127" s="819"/>
      <c r="AU127" s="819"/>
      <c r="AV127" s="819"/>
      <c r="AW127" s="819"/>
      <c r="AX127" s="819"/>
      <c r="AY127" s="819"/>
      <c r="AZ127" s="819"/>
      <c r="BB127" s="819"/>
    </row>
    <row r="128" spans="1:54" ht="14.1" customHeight="1">
      <c r="A128" s="1403"/>
      <c r="C128" s="2008" t="s">
        <v>1485</v>
      </c>
      <c r="D128" s="2008"/>
      <c r="G128" s="590"/>
      <c r="H128" s="590"/>
      <c r="I128" s="819"/>
      <c r="J128" s="819"/>
      <c r="K128" s="819"/>
      <c r="L128" s="819"/>
      <c r="M128" s="819"/>
      <c r="O128" s="819"/>
      <c r="P128" s="819"/>
      <c r="Q128" s="819"/>
      <c r="R128" s="819"/>
      <c r="S128" s="819"/>
      <c r="T128" s="819"/>
      <c r="U128" s="819"/>
      <c r="V128" s="819"/>
      <c r="W128" s="819"/>
      <c r="X128" s="819"/>
      <c r="Y128" s="819"/>
      <c r="Z128" s="819"/>
      <c r="AA128" s="819"/>
      <c r="AB128" s="819"/>
      <c r="AC128" s="819"/>
      <c r="AE128" s="819"/>
      <c r="AF128" s="819"/>
      <c r="AG128" s="819"/>
      <c r="AH128" s="819"/>
      <c r="AI128" s="819"/>
      <c r="AJ128" s="819"/>
      <c r="AK128" s="819"/>
      <c r="AL128" s="819"/>
      <c r="AM128" s="819"/>
      <c r="AN128" s="819"/>
      <c r="AO128" s="819"/>
      <c r="AP128" s="819"/>
      <c r="AQ128" s="819"/>
      <c r="AR128" s="819"/>
      <c r="AS128" s="819"/>
      <c r="AT128" s="819"/>
      <c r="AU128" s="819"/>
      <c r="AV128" s="819"/>
      <c r="AW128" s="819"/>
      <c r="AX128" s="819"/>
      <c r="AY128" s="819"/>
      <c r="AZ128" s="819"/>
      <c r="BB128" s="819"/>
    </row>
    <row r="129" spans="1:54" ht="14.1" customHeight="1">
      <c r="A129" s="819"/>
      <c r="B129" s="819"/>
      <c r="C129" s="819"/>
      <c r="D129" s="2093" t="s">
        <v>1488</v>
      </c>
      <c r="E129" s="2093"/>
      <c r="F129" s="2093"/>
      <c r="G129" s="2093"/>
      <c r="H129" s="2093"/>
      <c r="I129" s="2093"/>
      <c r="J129" s="2093"/>
      <c r="K129" s="2093"/>
      <c r="L129" s="2093"/>
      <c r="M129" s="2093"/>
      <c r="N129" s="2093"/>
      <c r="O129" s="2093"/>
      <c r="P129" s="2093"/>
      <c r="Q129" s="2093"/>
      <c r="R129" s="2093"/>
      <c r="S129" s="2093"/>
      <c r="T129" s="2093"/>
      <c r="U129" s="2093"/>
      <c r="V129" s="2093"/>
      <c r="W129" s="2093"/>
      <c r="X129" s="2093"/>
      <c r="Y129" s="2093"/>
      <c r="Z129" s="2093"/>
      <c r="AA129" s="2093"/>
      <c r="AB129" s="2093"/>
      <c r="AC129" s="819"/>
      <c r="AE129" s="819"/>
      <c r="AF129" s="819"/>
      <c r="AG129" s="819"/>
      <c r="AH129" s="819"/>
      <c r="AI129" s="819"/>
      <c r="AJ129" s="819"/>
      <c r="AK129" s="819"/>
      <c r="AL129" s="819"/>
      <c r="AM129" s="819"/>
      <c r="AN129" s="819"/>
      <c r="AO129" s="819"/>
      <c r="AP129" s="819"/>
      <c r="AQ129" s="819"/>
      <c r="AR129" s="819"/>
      <c r="AS129" s="819"/>
      <c r="AT129" s="819"/>
      <c r="AU129" s="819"/>
      <c r="AV129" s="819"/>
      <c r="AW129" s="819"/>
      <c r="AX129" s="819"/>
      <c r="AY129" s="819"/>
      <c r="AZ129" s="819"/>
      <c r="BB129" s="819"/>
    </row>
    <row r="130" spans="1:54" ht="14.1" customHeight="1">
      <c r="A130" s="819"/>
      <c r="B130" s="819"/>
      <c r="C130" s="819"/>
      <c r="D130" s="2093"/>
      <c r="E130" s="2093"/>
      <c r="F130" s="2093"/>
      <c r="G130" s="2093"/>
      <c r="H130" s="2093"/>
      <c r="I130" s="2093"/>
      <c r="J130" s="2093"/>
      <c r="K130" s="2093"/>
      <c r="L130" s="2093"/>
      <c r="M130" s="2093"/>
      <c r="N130" s="2093"/>
      <c r="O130" s="2093"/>
      <c r="P130" s="2093"/>
      <c r="Q130" s="2093"/>
      <c r="R130" s="2093"/>
      <c r="S130" s="2093"/>
      <c r="T130" s="2093"/>
      <c r="U130" s="2093"/>
      <c r="V130" s="2093"/>
      <c r="W130" s="2093"/>
      <c r="X130" s="2093"/>
      <c r="Y130" s="2093"/>
      <c r="Z130" s="2093"/>
      <c r="AA130" s="2093"/>
      <c r="AB130" s="2093"/>
      <c r="AC130" s="819"/>
      <c r="AE130" s="819"/>
      <c r="AF130" s="819"/>
      <c r="AG130" s="819"/>
      <c r="AH130" s="819"/>
      <c r="AI130" s="819"/>
      <c r="AJ130" s="819"/>
      <c r="AK130" s="819"/>
      <c r="AL130" s="819"/>
      <c r="AM130" s="819"/>
      <c r="AN130" s="819"/>
      <c r="AO130" s="819"/>
      <c r="AP130" s="819"/>
      <c r="AQ130" s="819"/>
      <c r="AR130" s="819"/>
      <c r="AS130" s="819"/>
      <c r="AT130" s="819"/>
      <c r="AU130" s="819"/>
      <c r="AV130" s="819"/>
      <c r="AW130" s="819"/>
      <c r="AX130" s="819"/>
      <c r="AY130" s="819"/>
      <c r="AZ130" s="819"/>
      <c r="BA130" s="819"/>
    </row>
    <row r="131" spans="1:54">
      <c r="A131" s="819"/>
      <c r="B131" s="819"/>
      <c r="C131" s="819"/>
      <c r="D131" s="2093"/>
      <c r="E131" s="2093"/>
      <c r="F131" s="2093"/>
      <c r="G131" s="2093"/>
      <c r="H131" s="2093"/>
      <c r="I131" s="2093"/>
      <c r="J131" s="2093"/>
      <c r="K131" s="2093"/>
      <c r="L131" s="2093"/>
      <c r="M131" s="2093"/>
      <c r="N131" s="2093"/>
      <c r="O131" s="2093"/>
      <c r="P131" s="2093"/>
      <c r="Q131" s="2093"/>
      <c r="R131" s="2093"/>
      <c r="S131" s="2093"/>
      <c r="T131" s="2093"/>
      <c r="U131" s="2093"/>
      <c r="V131" s="2093"/>
      <c r="W131" s="2093"/>
      <c r="X131" s="2093"/>
      <c r="Y131" s="2093"/>
      <c r="Z131" s="2093"/>
      <c r="AA131" s="2093"/>
      <c r="AB131" s="2093"/>
      <c r="AC131" s="819"/>
      <c r="AE131" s="819"/>
      <c r="AF131" s="819"/>
      <c r="AG131" s="819"/>
      <c r="AH131" s="819"/>
      <c r="AI131" s="819"/>
      <c r="AJ131" s="819"/>
      <c r="AK131" s="819"/>
      <c r="AL131" s="819"/>
      <c r="AM131" s="819"/>
      <c r="AN131" s="819"/>
      <c r="AO131" s="819"/>
      <c r="AP131" s="819"/>
      <c r="AQ131" s="819"/>
      <c r="AR131" s="819"/>
      <c r="AS131" s="819"/>
      <c r="AT131" s="819"/>
      <c r="AU131" s="819"/>
      <c r="AV131" s="819"/>
      <c r="AW131" s="819"/>
      <c r="AX131" s="819"/>
      <c r="AY131" s="819"/>
      <c r="AZ131" s="819"/>
      <c r="BA131" s="819"/>
      <c r="BB131" s="819"/>
    </row>
    <row r="132" spans="1:54">
      <c r="A132" s="819"/>
      <c r="B132" s="819"/>
      <c r="C132" s="819"/>
      <c r="D132" s="2093"/>
      <c r="E132" s="2093"/>
      <c r="F132" s="2093"/>
      <c r="G132" s="2093"/>
      <c r="H132" s="2093"/>
      <c r="I132" s="2093"/>
      <c r="J132" s="2093"/>
      <c r="K132" s="2093"/>
      <c r="L132" s="2093"/>
      <c r="M132" s="2093"/>
      <c r="N132" s="2093"/>
      <c r="O132" s="2093"/>
      <c r="P132" s="2093"/>
      <c r="Q132" s="2093"/>
      <c r="R132" s="2093"/>
      <c r="S132" s="2093"/>
      <c r="T132" s="2093"/>
      <c r="U132" s="2093"/>
      <c r="V132" s="2093"/>
      <c r="W132" s="2093"/>
      <c r="X132" s="2093"/>
      <c r="Y132" s="2093"/>
      <c r="Z132" s="2093"/>
      <c r="AA132" s="2093"/>
      <c r="AB132" s="2093"/>
      <c r="AC132" s="819"/>
      <c r="AE132" s="819"/>
      <c r="AF132" s="819"/>
      <c r="AG132" s="819"/>
      <c r="AH132" s="819"/>
      <c r="AI132" s="819"/>
      <c r="AJ132" s="819"/>
      <c r="AK132" s="819"/>
      <c r="AL132" s="819"/>
      <c r="AM132" s="819"/>
      <c r="AN132" s="819"/>
      <c r="AO132" s="819"/>
      <c r="AP132" s="819"/>
      <c r="AQ132" s="819"/>
      <c r="AR132" s="819"/>
      <c r="AS132" s="819"/>
      <c r="AT132" s="819"/>
      <c r="AU132" s="819"/>
      <c r="AV132" s="819"/>
      <c r="AW132" s="819"/>
      <c r="AX132" s="819"/>
      <c r="AY132" s="819"/>
      <c r="AZ132" s="819"/>
      <c r="BA132" s="819"/>
      <c r="BB132" s="819"/>
    </row>
    <row r="133" spans="1:54">
      <c r="A133" s="819"/>
      <c r="B133" s="819"/>
      <c r="C133" s="819"/>
      <c r="D133" s="2093"/>
      <c r="E133" s="2093"/>
      <c r="F133" s="2093"/>
      <c r="G133" s="2093"/>
      <c r="H133" s="2093"/>
      <c r="I133" s="2093"/>
      <c r="J133" s="2093"/>
      <c r="K133" s="2093"/>
      <c r="L133" s="2093"/>
      <c r="M133" s="2093"/>
      <c r="N133" s="2093"/>
      <c r="O133" s="2093"/>
      <c r="P133" s="2093"/>
      <c r="Q133" s="2093"/>
      <c r="R133" s="2093"/>
      <c r="S133" s="2093"/>
      <c r="T133" s="2093"/>
      <c r="U133" s="2093"/>
      <c r="V133" s="2093"/>
      <c r="W133" s="2093"/>
      <c r="X133" s="2093"/>
      <c r="Y133" s="2093"/>
      <c r="Z133" s="2093"/>
      <c r="AA133" s="2093"/>
      <c r="AB133" s="2093"/>
      <c r="AC133" s="819"/>
      <c r="AE133" s="819"/>
      <c r="AF133" s="819"/>
      <c r="AG133" s="819"/>
      <c r="AH133" s="819"/>
      <c r="AI133" s="819"/>
      <c r="AJ133" s="819"/>
      <c r="AK133" s="819"/>
      <c r="AL133" s="819"/>
      <c r="AM133" s="819"/>
      <c r="AN133" s="819"/>
      <c r="AO133" s="819"/>
      <c r="AP133" s="819"/>
      <c r="AQ133" s="819"/>
      <c r="AR133" s="819"/>
      <c r="AS133" s="819"/>
      <c r="AT133" s="819"/>
      <c r="AU133" s="819"/>
      <c r="AV133" s="819"/>
      <c r="AW133" s="819"/>
      <c r="AX133" s="819"/>
      <c r="AY133" s="819"/>
      <c r="AZ133" s="819"/>
      <c r="BA133" s="819"/>
      <c r="BB133" s="819"/>
    </row>
    <row r="134" spans="1:54" ht="13.8" thickBot="1">
      <c r="A134" s="555"/>
      <c r="B134" s="1323"/>
      <c r="C134" s="1323"/>
      <c r="D134" s="1331"/>
      <c r="E134" s="1331"/>
      <c r="F134" s="1331"/>
      <c r="G134" s="1331"/>
      <c r="H134" s="1331"/>
      <c r="I134" s="1331"/>
      <c r="J134" s="1331"/>
      <c r="K134" s="1331"/>
      <c r="L134" s="1331"/>
      <c r="M134" s="1331"/>
      <c r="N134" s="1331"/>
      <c r="O134" s="1331"/>
      <c r="P134" s="1331"/>
      <c r="Q134" s="1331"/>
      <c r="R134" s="1331"/>
      <c r="S134" s="1331"/>
      <c r="T134" s="1331"/>
      <c r="U134" s="1331"/>
      <c r="V134" s="1331"/>
      <c r="W134" s="1331"/>
      <c r="X134" s="1331"/>
      <c r="Y134" s="1331"/>
      <c r="Z134" s="1331"/>
      <c r="AA134" s="1331"/>
      <c r="AB134" s="1331"/>
      <c r="AC134" s="819"/>
      <c r="AE134" s="819"/>
      <c r="AF134" s="819"/>
      <c r="AG134" s="819"/>
      <c r="AH134" s="819"/>
      <c r="AI134" s="819"/>
      <c r="AJ134" s="819"/>
      <c r="AK134" s="819"/>
      <c r="AL134" s="819"/>
      <c r="AM134" s="819"/>
      <c r="AN134" s="819"/>
      <c r="AO134" s="819"/>
      <c r="AP134" s="819"/>
      <c r="AQ134" s="819"/>
      <c r="AR134" s="819"/>
      <c r="AS134" s="819"/>
      <c r="AT134" s="819"/>
      <c r="AU134" s="819"/>
      <c r="AV134" s="819"/>
      <c r="AW134" s="819"/>
      <c r="AX134" s="819"/>
      <c r="AY134" s="819"/>
      <c r="AZ134" s="819"/>
      <c r="BA134" s="819"/>
      <c r="BB134" s="819"/>
    </row>
    <row r="135" spans="1:54" ht="14.1" customHeight="1" thickTop="1">
      <c r="B135" s="819"/>
      <c r="C135" s="819"/>
      <c r="D135" s="1338"/>
      <c r="E135" s="1338"/>
      <c r="F135" s="1338"/>
      <c r="G135" s="1338"/>
      <c r="H135" s="1338"/>
      <c r="I135" s="1338"/>
      <c r="J135" s="1338"/>
      <c r="K135" s="1338"/>
      <c r="L135" s="1338"/>
      <c r="M135" s="1338"/>
      <c r="N135" s="1338"/>
      <c r="O135" s="1338"/>
      <c r="P135" s="1338"/>
      <c r="Q135" s="1338"/>
      <c r="R135" s="1338"/>
      <c r="S135" s="1338"/>
      <c r="T135" s="1338"/>
      <c r="U135" s="1338"/>
      <c r="V135" s="1338"/>
      <c r="W135" s="1338"/>
      <c r="X135" s="1338"/>
      <c r="Y135" s="1338"/>
      <c r="Z135" s="1338"/>
      <c r="AA135" s="1338"/>
      <c r="AB135" s="1338"/>
      <c r="AC135" s="819"/>
      <c r="AE135" s="819"/>
      <c r="AF135" s="819"/>
      <c r="AG135" s="819"/>
      <c r="AH135" s="819"/>
      <c r="AI135" s="819"/>
      <c r="AJ135" s="819"/>
      <c r="AK135" s="819"/>
      <c r="AL135" s="819"/>
      <c r="AM135" s="819"/>
      <c r="AN135" s="819"/>
      <c r="AO135" s="819"/>
      <c r="AP135" s="819"/>
      <c r="AQ135" s="819"/>
      <c r="AR135" s="819"/>
      <c r="AS135" s="819"/>
      <c r="AT135" s="819"/>
      <c r="AU135" s="819"/>
      <c r="AV135" s="819"/>
      <c r="AW135" s="819"/>
      <c r="AX135" s="819"/>
      <c r="AY135" s="819"/>
      <c r="AZ135" s="819"/>
      <c r="BA135" s="819"/>
    </row>
    <row r="136" spans="1:54" ht="14.1" customHeight="1">
      <c r="A136" s="2094" t="s">
        <v>1489</v>
      </c>
      <c r="B136" s="2094"/>
      <c r="C136" s="2094"/>
      <c r="D136" s="2094"/>
      <c r="E136" s="2094"/>
      <c r="F136" s="2094"/>
      <c r="G136" s="2094"/>
      <c r="H136" s="2094"/>
      <c r="I136" s="2094"/>
      <c r="J136" s="2094"/>
      <c r="K136" s="2094"/>
      <c r="L136" s="2094"/>
      <c r="M136" s="2094"/>
      <c r="N136" s="2094"/>
      <c r="O136" s="2094"/>
      <c r="P136" s="2094"/>
      <c r="Q136" s="2094"/>
      <c r="R136" s="2094"/>
      <c r="S136" s="2094"/>
      <c r="T136" s="2094"/>
      <c r="U136" s="819"/>
      <c r="V136" s="819"/>
      <c r="W136" s="819"/>
      <c r="X136" s="819"/>
      <c r="Y136" s="819"/>
      <c r="Z136" s="819"/>
      <c r="AA136" s="819"/>
      <c r="AB136" s="819"/>
      <c r="AC136" s="819"/>
      <c r="AE136" s="819"/>
      <c r="AF136" s="819"/>
      <c r="AG136" s="819"/>
      <c r="AH136" s="819"/>
      <c r="AI136" s="819"/>
      <c r="AJ136" s="819"/>
      <c r="AK136" s="819"/>
      <c r="AL136" s="819"/>
      <c r="AM136" s="819"/>
      <c r="AN136" s="819"/>
      <c r="AO136" s="819"/>
      <c r="AP136" s="819"/>
      <c r="AQ136" s="819"/>
      <c r="AR136" s="819"/>
      <c r="AS136" s="819"/>
      <c r="AT136" s="819"/>
      <c r="AU136" s="819"/>
      <c r="AV136" s="819"/>
      <c r="AW136" s="819"/>
      <c r="AX136" s="819"/>
      <c r="AY136" s="819"/>
      <c r="AZ136" s="819"/>
      <c r="BA136" s="819"/>
    </row>
    <row r="137" spans="1:54" ht="14.1" customHeight="1">
      <c r="A137" s="1403"/>
      <c r="B137" s="1403"/>
      <c r="C137" s="1403"/>
      <c r="D137" s="1403"/>
      <c r="U137" s="819"/>
      <c r="V137" s="819"/>
      <c r="W137" s="819"/>
      <c r="X137" s="819"/>
      <c r="Y137" s="819"/>
      <c r="Z137" s="819"/>
      <c r="AA137" s="819"/>
      <c r="AB137" s="819"/>
      <c r="AC137" s="819"/>
      <c r="AE137" s="819"/>
      <c r="AF137" s="819"/>
      <c r="AG137" s="819"/>
      <c r="AH137" s="819"/>
      <c r="AI137" s="819"/>
      <c r="AJ137" s="819"/>
      <c r="AK137" s="819"/>
      <c r="AL137" s="819"/>
      <c r="AM137" s="819"/>
      <c r="AN137" s="819"/>
      <c r="AO137" s="819"/>
      <c r="AP137" s="819"/>
      <c r="AQ137" s="819"/>
      <c r="AR137" s="819"/>
      <c r="AS137" s="819"/>
      <c r="AT137" s="819"/>
      <c r="AU137" s="819"/>
      <c r="AV137" s="819"/>
      <c r="AW137" s="819"/>
      <c r="AX137" s="819"/>
      <c r="AY137" s="819"/>
      <c r="AZ137" s="819"/>
      <c r="BB137" s="819"/>
    </row>
    <row r="138" spans="1:54" ht="13.5" customHeight="1">
      <c r="A138" s="1403"/>
      <c r="B138" s="1403"/>
      <c r="C138" s="1403"/>
      <c r="D138" s="1403"/>
      <c r="U138" s="819"/>
      <c r="V138" s="819"/>
      <c r="W138" s="819"/>
      <c r="X138" s="819"/>
      <c r="Y138" s="819"/>
      <c r="Z138" s="819"/>
      <c r="AA138" s="819"/>
      <c r="AB138" s="819"/>
      <c r="AC138" s="819"/>
      <c r="AE138" s="819"/>
      <c r="AF138" s="819"/>
      <c r="AG138" s="819"/>
      <c r="AH138" s="819"/>
      <c r="AI138" s="819"/>
      <c r="AJ138" s="819"/>
      <c r="AK138" s="819"/>
      <c r="AL138" s="819"/>
      <c r="AM138" s="819"/>
      <c r="AN138" s="819"/>
      <c r="AO138" s="819"/>
      <c r="AP138" s="819"/>
      <c r="AQ138" s="819"/>
      <c r="AR138" s="819"/>
      <c r="AS138" s="819"/>
      <c r="AT138" s="819"/>
      <c r="AU138" s="819"/>
      <c r="AV138" s="819"/>
      <c r="AW138" s="819"/>
      <c r="AX138" s="819"/>
      <c r="AY138" s="819"/>
      <c r="AZ138" s="819"/>
      <c r="BB138" s="819"/>
    </row>
    <row r="139" spans="1:54" ht="13.5" customHeight="1">
      <c r="A139" s="1403"/>
      <c r="B139" s="1403"/>
      <c r="C139" s="1403"/>
      <c r="D139" s="1403"/>
      <c r="H139" s="2012" t="s">
        <v>341</v>
      </c>
      <c r="I139" s="2012"/>
      <c r="U139" s="819"/>
      <c r="V139" s="819"/>
      <c r="W139" s="819"/>
      <c r="X139" s="819"/>
      <c r="Y139" s="819"/>
      <c r="Z139" s="819"/>
      <c r="AA139" s="819"/>
      <c r="AB139" s="819"/>
      <c r="AC139" s="819"/>
      <c r="AE139" s="819"/>
      <c r="AF139" s="819"/>
      <c r="AG139" s="819"/>
      <c r="AH139" s="819"/>
      <c r="AI139" s="819"/>
      <c r="AJ139" s="819"/>
      <c r="AK139" s="819"/>
      <c r="AL139" s="819"/>
      <c r="AM139" s="819"/>
      <c r="AN139" s="819"/>
      <c r="AO139" s="819"/>
      <c r="AP139" s="819"/>
      <c r="AQ139" s="819"/>
      <c r="AR139" s="819"/>
      <c r="AS139" s="819"/>
      <c r="AT139" s="819"/>
      <c r="AU139" s="819"/>
      <c r="AV139" s="819"/>
      <c r="AW139" s="819"/>
      <c r="AX139" s="819"/>
      <c r="AY139" s="819"/>
      <c r="AZ139" s="819"/>
      <c r="BB139" s="819"/>
    </row>
    <row r="140" spans="1:54" ht="13.5" customHeight="1">
      <c r="A140" s="1403"/>
      <c r="B140" s="1403"/>
      <c r="C140" s="1403"/>
      <c r="D140" s="1403"/>
      <c r="H140" s="2011" t="s">
        <v>349</v>
      </c>
      <c r="I140" s="2011"/>
      <c r="U140" s="819"/>
      <c r="V140" s="819"/>
      <c r="W140" s="819"/>
      <c r="X140" s="819"/>
      <c r="Y140" s="819"/>
      <c r="Z140" s="819"/>
      <c r="AA140" s="819"/>
      <c r="AB140" s="819"/>
      <c r="AC140" s="819"/>
      <c r="AE140" s="819"/>
      <c r="AF140" s="819"/>
      <c r="AG140" s="819"/>
      <c r="AH140" s="819"/>
      <c r="AI140" s="819"/>
      <c r="AJ140" s="819"/>
      <c r="AK140" s="819"/>
      <c r="AL140" s="819"/>
      <c r="AM140" s="819"/>
      <c r="AN140" s="819"/>
      <c r="AO140" s="819"/>
      <c r="AP140" s="819"/>
      <c r="AQ140" s="819"/>
      <c r="AR140" s="819"/>
      <c r="AS140" s="819"/>
      <c r="AT140" s="819"/>
      <c r="AU140" s="819"/>
      <c r="AV140" s="819"/>
      <c r="AW140" s="819"/>
      <c r="AX140" s="819"/>
      <c r="AY140" s="819"/>
      <c r="AZ140" s="819"/>
      <c r="BB140" s="819"/>
    </row>
    <row r="141" spans="1:54" ht="13.5" customHeight="1">
      <c r="A141" s="1403"/>
      <c r="B141" s="1403"/>
      <c r="C141" s="1403"/>
      <c r="D141" s="1403"/>
      <c r="H141" s="2011"/>
      <c r="I141" s="2011"/>
      <c r="U141" s="819"/>
      <c r="V141" s="819"/>
      <c r="W141" s="819"/>
      <c r="X141" s="819"/>
      <c r="Y141" s="819"/>
      <c r="Z141" s="819"/>
      <c r="AA141" s="819"/>
      <c r="AB141" s="819"/>
      <c r="AC141" s="819"/>
      <c r="AE141" s="819"/>
      <c r="AF141" s="819"/>
      <c r="AG141" s="819"/>
      <c r="AH141" s="819"/>
      <c r="AI141" s="819"/>
      <c r="AJ141" s="819"/>
      <c r="AK141" s="819"/>
      <c r="AL141" s="819"/>
      <c r="AM141" s="819"/>
      <c r="AN141" s="819"/>
      <c r="AO141" s="819"/>
      <c r="AP141" s="819"/>
      <c r="AQ141" s="819"/>
      <c r="AR141" s="819"/>
      <c r="AS141" s="819"/>
      <c r="AT141" s="819"/>
      <c r="AU141" s="819"/>
      <c r="AV141" s="819"/>
      <c r="AW141" s="819"/>
      <c r="AX141" s="819"/>
      <c r="AY141" s="819"/>
      <c r="AZ141" s="819"/>
      <c r="BB141" s="819"/>
    </row>
    <row r="142" spans="1:54" ht="13.5" customHeight="1">
      <c r="A142" s="1403"/>
      <c r="B142" s="1403"/>
      <c r="C142" s="1403"/>
      <c r="D142" s="1403"/>
      <c r="H142" s="554"/>
      <c r="U142" s="819"/>
      <c r="V142" s="819"/>
      <c r="W142" s="819"/>
      <c r="X142" s="819"/>
      <c r="Y142" s="819"/>
      <c r="Z142" s="819"/>
      <c r="AA142" s="819"/>
      <c r="AB142" s="819"/>
      <c r="AC142" s="819"/>
      <c r="AE142" s="819"/>
      <c r="AF142" s="819"/>
      <c r="AG142" s="819"/>
      <c r="AH142" s="819"/>
      <c r="AI142" s="819"/>
      <c r="AJ142" s="819"/>
      <c r="AK142" s="819"/>
      <c r="AL142" s="819"/>
      <c r="AM142" s="819"/>
      <c r="AN142" s="819"/>
      <c r="AO142" s="819"/>
      <c r="AP142" s="819"/>
      <c r="AQ142" s="819"/>
      <c r="AR142" s="819"/>
      <c r="AS142" s="819"/>
      <c r="AT142" s="819"/>
      <c r="AU142" s="819"/>
      <c r="AV142" s="819"/>
      <c r="AW142" s="819"/>
      <c r="AX142" s="819"/>
      <c r="AY142" s="819"/>
      <c r="AZ142" s="819"/>
      <c r="BB142" s="819"/>
    </row>
    <row r="143" spans="1:54" ht="13.5" customHeight="1" thickBot="1">
      <c r="A143" s="1403"/>
      <c r="C143" s="1403"/>
      <c r="D143" s="1403"/>
      <c r="H143" s="554"/>
      <c r="U143" s="819"/>
      <c r="V143" s="819"/>
      <c r="W143" s="819"/>
      <c r="X143" s="819"/>
      <c r="Y143" s="819"/>
      <c r="Z143" s="819"/>
      <c r="AA143" s="819"/>
      <c r="AB143" s="819"/>
      <c r="AC143" s="819"/>
      <c r="AE143" s="819"/>
      <c r="AF143" s="819"/>
      <c r="AG143" s="819"/>
      <c r="AH143" s="819"/>
      <c r="AI143" s="819"/>
      <c r="AJ143" s="819"/>
      <c r="AK143" s="819"/>
      <c r="AL143" s="819"/>
      <c r="AM143" s="819"/>
      <c r="AN143" s="819"/>
      <c r="AO143" s="819"/>
      <c r="AP143" s="819"/>
      <c r="AQ143" s="819"/>
      <c r="AR143" s="819"/>
      <c r="AS143" s="819"/>
      <c r="AT143" s="819"/>
      <c r="AU143" s="819"/>
      <c r="AV143" s="819"/>
      <c r="AW143" s="819"/>
      <c r="AX143" s="819"/>
      <c r="AY143" s="819"/>
      <c r="AZ143" s="819"/>
      <c r="BB143" s="819"/>
    </row>
    <row r="144" spans="1:54" ht="13.5" customHeight="1" thickTop="1" thickBot="1">
      <c r="A144" s="1403"/>
      <c r="C144" s="819"/>
      <c r="D144" s="819"/>
      <c r="E144" s="1408"/>
      <c r="F144" s="2015" t="s">
        <v>69</v>
      </c>
      <c r="G144" s="549"/>
      <c r="H144" s="571"/>
      <c r="I144" s="551"/>
      <c r="J144" s="1408"/>
      <c r="K144" s="2013" t="s">
        <v>1473</v>
      </c>
      <c r="L144" s="1408"/>
      <c r="U144" s="819"/>
      <c r="V144" s="819"/>
      <c r="W144" s="819"/>
      <c r="X144" s="819"/>
      <c r="Y144" s="819"/>
      <c r="Z144" s="819"/>
      <c r="AA144" s="819"/>
      <c r="AB144" s="819"/>
      <c r="AC144" s="819"/>
      <c r="AE144" s="819"/>
      <c r="AF144" s="819"/>
      <c r="AG144" s="819"/>
      <c r="AH144" s="819"/>
      <c r="AI144" s="819"/>
      <c r="AJ144" s="819"/>
      <c r="AK144" s="819"/>
      <c r="AL144" s="819"/>
      <c r="AM144" s="819"/>
      <c r="AN144" s="819"/>
      <c r="AO144" s="819"/>
      <c r="AP144" s="819"/>
      <c r="AQ144" s="819"/>
      <c r="AR144" s="819"/>
      <c r="AS144" s="819"/>
      <c r="AT144" s="819"/>
      <c r="AU144" s="819"/>
      <c r="AV144" s="819"/>
      <c r="AW144" s="819"/>
      <c r="AX144" s="819"/>
      <c r="AY144" s="819"/>
      <c r="AZ144" s="819"/>
      <c r="BB144" s="819"/>
    </row>
    <row r="145" spans="1:54" ht="12.75" customHeight="1" thickTop="1" thickBot="1">
      <c r="A145" s="1403"/>
      <c r="B145" s="1403"/>
      <c r="C145" s="819"/>
      <c r="D145" s="819"/>
      <c r="E145" s="548"/>
      <c r="F145" s="2016"/>
      <c r="K145" s="2014"/>
      <c r="L145" s="553"/>
      <c r="U145" s="819"/>
      <c r="V145" s="819"/>
      <c r="W145" s="819"/>
      <c r="X145" s="819"/>
      <c r="Y145" s="819"/>
      <c r="Z145" s="819"/>
      <c r="AA145" s="819"/>
      <c r="AB145" s="819"/>
      <c r="AC145" s="819"/>
      <c r="AE145" s="819"/>
      <c r="AF145" s="819"/>
      <c r="AG145" s="819"/>
      <c r="AH145" s="819"/>
      <c r="AI145" s="819"/>
      <c r="AJ145" s="819"/>
      <c r="AK145" s="819"/>
      <c r="AL145" s="819"/>
      <c r="AM145" s="819"/>
      <c r="AN145" s="819"/>
      <c r="AO145" s="819"/>
      <c r="AP145" s="819"/>
      <c r="AQ145" s="819"/>
      <c r="AR145" s="819"/>
      <c r="AS145" s="819"/>
      <c r="AT145" s="819"/>
      <c r="AU145" s="819"/>
      <c r="AV145" s="819"/>
      <c r="AW145" s="819"/>
      <c r="AX145" s="819"/>
      <c r="AY145" s="819"/>
      <c r="AZ145" s="819"/>
      <c r="BB145" s="819"/>
    </row>
    <row r="146" spans="1:54" ht="12.75" customHeight="1" thickTop="1" thickBot="1">
      <c r="A146" s="1403"/>
      <c r="B146" s="1403"/>
      <c r="C146" s="2020" t="s">
        <v>334</v>
      </c>
      <c r="D146" s="2024"/>
      <c r="E146" s="1403"/>
      <c r="F146" s="1403"/>
      <c r="L146" s="554"/>
      <c r="M146" s="2019" t="s">
        <v>338</v>
      </c>
      <c r="N146" s="2020"/>
      <c r="U146" s="819"/>
      <c r="V146" s="819"/>
      <c r="W146" s="819"/>
      <c r="X146" s="819"/>
      <c r="Y146" s="819"/>
      <c r="Z146" s="819"/>
      <c r="AA146" s="819"/>
      <c r="AB146" s="819"/>
      <c r="AC146" s="819"/>
      <c r="AE146" s="819"/>
      <c r="AF146" s="819"/>
      <c r="AG146" s="819"/>
      <c r="AH146" s="819"/>
      <c r="AI146" s="819"/>
      <c r="AJ146" s="819"/>
      <c r="AK146" s="819"/>
      <c r="AL146" s="819"/>
      <c r="AM146" s="819"/>
      <c r="AN146" s="819"/>
      <c r="AO146" s="819"/>
      <c r="AP146" s="819"/>
      <c r="AQ146" s="819"/>
      <c r="AR146" s="819"/>
      <c r="AS146" s="819"/>
      <c r="AT146" s="819"/>
      <c r="AU146" s="819"/>
      <c r="AV146" s="819"/>
      <c r="AW146" s="819"/>
      <c r="AX146" s="819"/>
      <c r="AY146" s="819"/>
      <c r="AZ146" s="819"/>
      <c r="BB146" s="819"/>
    </row>
    <row r="147" spans="1:54" ht="13.5" customHeight="1" thickTop="1" thickBot="1">
      <c r="B147" s="819"/>
      <c r="C147" s="1339"/>
      <c r="D147" s="1340"/>
      <c r="E147" s="819"/>
      <c r="F147" s="819"/>
      <c r="G147" s="819"/>
      <c r="H147" s="819"/>
      <c r="I147" s="819"/>
      <c r="J147" s="819"/>
      <c r="K147" s="819"/>
      <c r="L147" s="1336"/>
      <c r="M147" s="819"/>
      <c r="N147" s="819"/>
      <c r="O147" s="819"/>
      <c r="P147" s="819"/>
      <c r="Q147" s="819"/>
      <c r="R147" s="819"/>
      <c r="S147" s="819"/>
      <c r="T147" s="819"/>
      <c r="U147" s="819"/>
      <c r="V147" s="819"/>
      <c r="W147" s="819"/>
      <c r="X147" s="819"/>
      <c r="Y147" s="819"/>
      <c r="Z147" s="819"/>
      <c r="AA147" s="819"/>
      <c r="AB147" s="819"/>
      <c r="AC147" s="819"/>
      <c r="AE147" s="819"/>
      <c r="AF147" s="819"/>
      <c r="AG147" s="819"/>
      <c r="AH147" s="819"/>
      <c r="AI147" s="819"/>
      <c r="AJ147" s="819"/>
      <c r="AK147" s="819"/>
      <c r="AL147" s="819"/>
      <c r="AM147" s="819"/>
      <c r="AN147" s="819"/>
      <c r="AO147" s="819"/>
      <c r="AP147" s="819"/>
      <c r="AQ147" s="819"/>
      <c r="AR147" s="819"/>
      <c r="AS147" s="819"/>
      <c r="AT147" s="819"/>
      <c r="AU147" s="819"/>
      <c r="AV147" s="819"/>
      <c r="AW147" s="819"/>
      <c r="AX147" s="819"/>
      <c r="AY147" s="819"/>
      <c r="AZ147" s="819"/>
      <c r="BB147" s="819"/>
    </row>
    <row r="148" spans="1:54" ht="13.5" customHeight="1" thickTop="1" thickBot="1">
      <c r="B148" s="819"/>
      <c r="C148" s="819"/>
      <c r="D148" s="1336"/>
      <c r="E148" s="1341"/>
      <c r="F148" s="2013" t="s">
        <v>1478</v>
      </c>
      <c r="G148" s="1332"/>
      <c r="H148" s="1332"/>
      <c r="I148" s="1332"/>
      <c r="J148" s="1332"/>
      <c r="K148" s="2009" t="s">
        <v>1475</v>
      </c>
      <c r="L148" s="1333"/>
      <c r="M148" s="819"/>
      <c r="N148" s="819"/>
      <c r="O148" s="819"/>
      <c r="P148" s="819"/>
      <c r="Q148" s="819"/>
      <c r="R148" s="819"/>
      <c r="S148" s="819"/>
      <c r="T148" s="819"/>
      <c r="U148" s="819"/>
      <c r="V148" s="819"/>
      <c r="W148" s="819"/>
      <c r="X148" s="819"/>
      <c r="Y148" s="819"/>
      <c r="Z148" s="819"/>
      <c r="AA148" s="819"/>
      <c r="AB148" s="819"/>
      <c r="AC148" s="819"/>
      <c r="AE148" s="819"/>
      <c r="AF148" s="819"/>
      <c r="AG148" s="819"/>
      <c r="AH148" s="819"/>
      <c r="AI148" s="819"/>
      <c r="AJ148" s="819"/>
      <c r="AK148" s="819"/>
      <c r="AL148" s="819"/>
      <c r="AM148" s="819"/>
      <c r="AN148" s="819"/>
      <c r="AO148" s="819"/>
      <c r="AP148" s="819"/>
      <c r="AQ148" s="819"/>
      <c r="AR148" s="819"/>
      <c r="AS148" s="819"/>
      <c r="AT148" s="819"/>
      <c r="AU148" s="819"/>
      <c r="AV148" s="819"/>
      <c r="AW148" s="819"/>
      <c r="AX148" s="819"/>
      <c r="AY148" s="819"/>
      <c r="AZ148" s="819"/>
      <c r="BA148" s="819"/>
    </row>
    <row r="149" spans="1:54" ht="12.75" customHeight="1" thickTop="1" thickBot="1">
      <c r="B149" s="819"/>
      <c r="C149" s="819"/>
      <c r="D149" s="819"/>
      <c r="E149" s="819"/>
      <c r="F149" s="2014"/>
      <c r="G149" s="819"/>
      <c r="H149" s="554"/>
      <c r="J149" s="819"/>
      <c r="K149" s="2010"/>
      <c r="L149" s="819"/>
      <c r="M149" s="819"/>
      <c r="N149" s="819"/>
      <c r="O149" s="819"/>
      <c r="P149" s="819"/>
      <c r="Q149" s="819"/>
      <c r="R149" s="819"/>
      <c r="S149" s="819"/>
      <c r="T149" s="819"/>
      <c r="U149" s="819"/>
      <c r="V149" s="819"/>
      <c r="W149" s="819"/>
      <c r="X149" s="819"/>
      <c r="Y149" s="819"/>
      <c r="Z149" s="819"/>
      <c r="AA149" s="819"/>
      <c r="AB149" s="819"/>
      <c r="AC149" s="819"/>
      <c r="AE149" s="819"/>
      <c r="AF149" s="819"/>
      <c r="AG149" s="819"/>
      <c r="AH149" s="819"/>
      <c r="AI149" s="819"/>
      <c r="AJ149" s="819"/>
      <c r="AK149" s="819"/>
      <c r="AL149" s="819"/>
      <c r="AM149" s="819"/>
      <c r="AN149" s="819"/>
      <c r="AO149" s="819"/>
      <c r="AP149" s="819"/>
      <c r="AQ149" s="819"/>
      <c r="AR149" s="819"/>
      <c r="AS149" s="819"/>
      <c r="AT149" s="819"/>
      <c r="AU149" s="819"/>
      <c r="AV149" s="819"/>
      <c r="AW149" s="819"/>
      <c r="AX149" s="819"/>
      <c r="AY149" s="819"/>
      <c r="AZ149" s="819"/>
      <c r="BA149" s="819"/>
    </row>
    <row r="150" spans="1:54" ht="12.75" customHeight="1">
      <c r="B150" s="819"/>
      <c r="C150" s="819"/>
      <c r="D150" s="819"/>
      <c r="E150" s="819"/>
      <c r="F150" s="819"/>
      <c r="G150" s="819"/>
      <c r="H150" s="554"/>
      <c r="J150" s="819"/>
      <c r="K150" s="819"/>
      <c r="L150" s="819"/>
      <c r="M150" s="819"/>
      <c r="N150" s="819"/>
      <c r="O150" s="819"/>
      <c r="P150" s="819"/>
      <c r="Q150" s="819"/>
      <c r="R150" s="819"/>
      <c r="S150" s="819"/>
      <c r="T150" s="819"/>
      <c r="U150" s="819"/>
      <c r="V150" s="819"/>
      <c r="W150" s="819"/>
      <c r="X150" s="819"/>
      <c r="Y150" s="819"/>
      <c r="Z150" s="819"/>
      <c r="AA150" s="819"/>
      <c r="AB150" s="819"/>
      <c r="AC150" s="819"/>
      <c r="AE150" s="819"/>
      <c r="AF150" s="819"/>
      <c r="AG150" s="819"/>
      <c r="AH150" s="819"/>
      <c r="AI150" s="819"/>
      <c r="AJ150" s="819"/>
      <c r="AK150" s="819"/>
      <c r="AL150" s="819"/>
      <c r="AM150" s="819"/>
      <c r="AN150" s="819"/>
      <c r="AO150" s="819"/>
      <c r="AP150" s="819"/>
      <c r="AQ150" s="819"/>
      <c r="AR150" s="819"/>
      <c r="AS150" s="819"/>
      <c r="AT150" s="819"/>
      <c r="AU150" s="819"/>
      <c r="AV150" s="819"/>
      <c r="AW150" s="819"/>
      <c r="AX150" s="819"/>
      <c r="AY150" s="819"/>
      <c r="AZ150" s="819"/>
      <c r="BA150" s="819"/>
    </row>
    <row r="151" spans="1:54" ht="13.5" customHeight="1">
      <c r="B151" s="819"/>
      <c r="C151" s="819"/>
      <c r="D151" s="819"/>
      <c r="E151" s="819"/>
      <c r="F151" s="819"/>
      <c r="G151" s="819"/>
      <c r="H151" s="567"/>
      <c r="I151" s="533"/>
      <c r="J151" s="819"/>
      <c r="K151" s="819"/>
      <c r="L151" s="819"/>
      <c r="M151" s="819"/>
      <c r="N151" s="819"/>
      <c r="O151" s="819"/>
      <c r="P151" s="819"/>
      <c r="Q151" s="819"/>
      <c r="R151" s="819"/>
      <c r="S151" s="819"/>
      <c r="T151" s="819"/>
      <c r="U151" s="819"/>
      <c r="V151" s="819"/>
      <c r="W151" s="819"/>
      <c r="X151" s="819"/>
      <c r="Y151" s="819"/>
      <c r="Z151" s="819"/>
      <c r="AA151" s="819"/>
      <c r="AB151" s="819"/>
      <c r="AC151" s="819"/>
      <c r="AE151" s="819"/>
      <c r="AF151" s="819"/>
      <c r="AG151" s="819"/>
      <c r="AH151" s="819"/>
      <c r="AI151" s="819"/>
      <c r="AJ151" s="819"/>
      <c r="AK151" s="819"/>
      <c r="AL151" s="819"/>
      <c r="AM151" s="819"/>
      <c r="AN151" s="819"/>
      <c r="AO151" s="819"/>
      <c r="AP151" s="819"/>
      <c r="AQ151" s="819"/>
      <c r="AR151" s="819"/>
      <c r="AS151" s="819"/>
      <c r="AT151" s="819"/>
      <c r="AU151" s="819"/>
      <c r="AV151" s="819"/>
      <c r="AW151" s="819"/>
      <c r="AX151" s="819"/>
      <c r="AY151" s="819"/>
      <c r="AZ151" s="819"/>
      <c r="BA151" s="819"/>
    </row>
    <row r="152" spans="1:54" ht="13.5" customHeight="1">
      <c r="B152" s="819"/>
      <c r="C152" s="819"/>
      <c r="D152" s="819"/>
      <c r="E152" s="819"/>
      <c r="F152" s="819"/>
      <c r="G152" s="819"/>
      <c r="H152" s="2012" t="s">
        <v>1480</v>
      </c>
      <c r="I152" s="2012"/>
      <c r="J152" s="819"/>
      <c r="K152" s="819"/>
      <c r="L152" s="819"/>
      <c r="M152" s="819"/>
      <c r="N152" s="819"/>
      <c r="O152" s="819"/>
      <c r="P152" s="819"/>
      <c r="Q152" s="819"/>
      <c r="R152" s="819"/>
      <c r="S152" s="819"/>
      <c r="T152" s="819"/>
      <c r="U152" s="819"/>
      <c r="V152" s="819"/>
      <c r="W152" s="819"/>
      <c r="X152" s="819"/>
      <c r="Y152" s="819"/>
      <c r="Z152" s="819"/>
      <c r="AA152" s="819"/>
      <c r="AB152" s="819"/>
      <c r="AC152" s="819"/>
      <c r="AE152" s="819"/>
      <c r="AF152" s="819"/>
      <c r="AG152" s="819"/>
      <c r="AH152" s="819"/>
      <c r="AI152" s="819"/>
      <c r="AJ152" s="819"/>
      <c r="AK152" s="819"/>
      <c r="AL152" s="819"/>
      <c r="AM152" s="819"/>
      <c r="AN152" s="819"/>
      <c r="AO152" s="819"/>
      <c r="AP152" s="819"/>
      <c r="AQ152" s="819"/>
      <c r="AR152" s="819"/>
      <c r="AS152" s="819"/>
      <c r="AT152" s="819"/>
      <c r="AU152" s="819"/>
      <c r="AV152" s="819"/>
      <c r="AW152" s="819"/>
      <c r="AX152" s="819"/>
      <c r="AY152" s="819"/>
      <c r="AZ152" s="819"/>
      <c r="BA152" s="819"/>
    </row>
    <row r="153" spans="1:54" ht="13.5" customHeight="1">
      <c r="B153" s="819"/>
      <c r="C153" s="819"/>
      <c r="D153" s="819"/>
      <c r="E153" s="819"/>
      <c r="F153" s="819"/>
      <c r="G153" s="819"/>
      <c r="H153" s="590"/>
      <c r="I153" s="590"/>
      <c r="J153" s="819"/>
      <c r="K153" s="819"/>
      <c r="L153" s="819"/>
      <c r="M153" s="819"/>
      <c r="N153" s="819"/>
      <c r="O153" s="819"/>
      <c r="P153" s="819"/>
      <c r="Q153" s="819"/>
      <c r="R153" s="819"/>
      <c r="S153" s="819"/>
      <c r="T153" s="819"/>
      <c r="U153" s="819"/>
      <c r="V153" s="819"/>
      <c r="W153" s="819"/>
      <c r="X153" s="819"/>
      <c r="Y153" s="819"/>
      <c r="Z153" s="819"/>
      <c r="AA153" s="819"/>
      <c r="AB153" s="819"/>
      <c r="AC153" s="819"/>
      <c r="AE153" s="819"/>
      <c r="AF153" s="819"/>
      <c r="AG153" s="819"/>
      <c r="AH153" s="819"/>
      <c r="AI153" s="819"/>
      <c r="AJ153" s="819"/>
      <c r="AK153" s="819"/>
      <c r="AL153" s="819"/>
      <c r="AM153" s="819"/>
      <c r="AN153" s="819"/>
      <c r="AO153" s="819"/>
      <c r="AP153" s="819"/>
      <c r="AQ153" s="819"/>
      <c r="AR153" s="819"/>
      <c r="AS153" s="819"/>
      <c r="AT153" s="819"/>
      <c r="AU153" s="819"/>
      <c r="AV153" s="819"/>
      <c r="AW153" s="819"/>
      <c r="AX153" s="819"/>
      <c r="AY153" s="819"/>
      <c r="AZ153" s="819"/>
      <c r="BA153" s="819"/>
    </row>
    <row r="154" spans="1:54" ht="13.5" customHeight="1">
      <c r="A154" s="1403"/>
      <c r="B154" s="1403"/>
      <c r="C154" s="2008" t="s">
        <v>1476</v>
      </c>
      <c r="D154" s="2008"/>
      <c r="U154" s="819"/>
      <c r="V154" s="819"/>
      <c r="W154" s="819"/>
      <c r="X154" s="819"/>
      <c r="Y154" s="819"/>
      <c r="Z154" s="819"/>
      <c r="AA154" s="819"/>
      <c r="AB154" s="819"/>
      <c r="AC154" s="819"/>
      <c r="AE154" s="819"/>
      <c r="AF154" s="819"/>
      <c r="AG154" s="819"/>
      <c r="AH154" s="819"/>
      <c r="AI154" s="819"/>
      <c r="AJ154" s="819"/>
      <c r="AK154" s="819"/>
      <c r="AL154" s="819"/>
      <c r="AM154" s="819"/>
      <c r="AN154" s="819"/>
      <c r="AO154" s="819"/>
      <c r="AP154" s="819"/>
      <c r="AQ154" s="819"/>
      <c r="AR154" s="819"/>
      <c r="AS154" s="819"/>
      <c r="AT154" s="819"/>
      <c r="AU154" s="819"/>
      <c r="AV154" s="819"/>
      <c r="AW154" s="819"/>
      <c r="AX154" s="819"/>
      <c r="AY154" s="819"/>
      <c r="AZ154" s="819"/>
      <c r="BA154" s="819"/>
    </row>
    <row r="155" spans="1:54" ht="13.5" customHeight="1">
      <c r="A155" s="819"/>
      <c r="B155" s="819"/>
      <c r="C155" s="819"/>
      <c r="D155" s="2093" t="s">
        <v>1490</v>
      </c>
      <c r="E155" s="2093"/>
      <c r="F155" s="2093"/>
      <c r="G155" s="2093"/>
      <c r="H155" s="2093"/>
      <c r="I155" s="2093"/>
      <c r="J155" s="2093"/>
      <c r="K155" s="2093"/>
      <c r="L155" s="2093"/>
      <c r="M155" s="2093"/>
      <c r="N155" s="2093"/>
      <c r="O155" s="2093"/>
      <c r="P155" s="2093"/>
      <c r="Q155" s="2093"/>
      <c r="R155" s="2093"/>
      <c r="S155" s="2093"/>
      <c r="T155" s="2093"/>
      <c r="U155" s="2093"/>
      <c r="V155" s="2093"/>
      <c r="W155" s="2093"/>
      <c r="X155" s="2093"/>
      <c r="Y155" s="2093"/>
      <c r="Z155" s="2093"/>
      <c r="AA155" s="2093"/>
      <c r="AB155" s="2093"/>
      <c r="AC155" s="819"/>
      <c r="AE155" s="819"/>
      <c r="AF155" s="819"/>
      <c r="AG155" s="819"/>
      <c r="AH155" s="819"/>
      <c r="AI155" s="819"/>
      <c r="AJ155" s="819"/>
      <c r="AK155" s="819"/>
      <c r="AL155" s="819"/>
      <c r="AM155" s="819"/>
      <c r="AN155" s="819"/>
      <c r="AO155" s="819"/>
      <c r="AP155" s="819"/>
      <c r="AQ155" s="819"/>
      <c r="AR155" s="819"/>
      <c r="AS155" s="819"/>
      <c r="AT155" s="819"/>
      <c r="AU155" s="819"/>
      <c r="AV155" s="819"/>
      <c r="AW155" s="819"/>
      <c r="AX155" s="819"/>
      <c r="AY155" s="819"/>
      <c r="AZ155" s="819"/>
      <c r="BB155" s="819"/>
    </row>
    <row r="156" spans="1:54" ht="13.5" customHeight="1">
      <c r="A156" s="819"/>
      <c r="B156" s="819"/>
      <c r="C156" s="819"/>
      <c r="D156" s="2093"/>
      <c r="E156" s="2093"/>
      <c r="F156" s="2093"/>
      <c r="G156" s="2093"/>
      <c r="H156" s="2093"/>
      <c r="I156" s="2093"/>
      <c r="J156" s="2093"/>
      <c r="K156" s="2093"/>
      <c r="L156" s="2093"/>
      <c r="M156" s="2093"/>
      <c r="N156" s="2093"/>
      <c r="O156" s="2093"/>
      <c r="P156" s="2093"/>
      <c r="Q156" s="2093"/>
      <c r="R156" s="2093"/>
      <c r="S156" s="2093"/>
      <c r="T156" s="2093"/>
      <c r="U156" s="2093"/>
      <c r="V156" s="2093"/>
      <c r="W156" s="2093"/>
      <c r="X156" s="2093"/>
      <c r="Y156" s="2093"/>
      <c r="Z156" s="2093"/>
      <c r="AA156" s="2093"/>
      <c r="AB156" s="2093"/>
      <c r="AC156" s="819"/>
      <c r="AE156" s="819"/>
      <c r="AF156" s="819"/>
      <c r="AG156" s="819"/>
      <c r="AH156" s="819"/>
      <c r="AI156" s="819"/>
      <c r="AJ156" s="819"/>
      <c r="AK156" s="819"/>
      <c r="AL156" s="819"/>
      <c r="AM156" s="819"/>
      <c r="AN156" s="819"/>
      <c r="AO156" s="819"/>
      <c r="AP156" s="819"/>
      <c r="AQ156" s="819"/>
      <c r="AR156" s="819"/>
      <c r="AS156" s="819"/>
      <c r="AT156" s="819"/>
      <c r="AU156" s="819"/>
      <c r="AV156" s="819"/>
      <c r="AW156" s="819"/>
      <c r="AX156" s="819"/>
      <c r="AY156" s="819"/>
      <c r="AZ156" s="819"/>
      <c r="BA156" s="819"/>
    </row>
    <row r="157" spans="1:54" ht="13.5" customHeight="1">
      <c r="A157" s="819"/>
      <c r="B157" s="819"/>
      <c r="C157" s="819"/>
      <c r="D157" s="2093"/>
      <c r="E157" s="2093"/>
      <c r="F157" s="2093"/>
      <c r="G157" s="2093"/>
      <c r="H157" s="2093"/>
      <c r="I157" s="2093"/>
      <c r="J157" s="2093"/>
      <c r="K157" s="2093"/>
      <c r="L157" s="2093"/>
      <c r="M157" s="2093"/>
      <c r="N157" s="2093"/>
      <c r="O157" s="2093"/>
      <c r="P157" s="2093"/>
      <c r="Q157" s="2093"/>
      <c r="R157" s="2093"/>
      <c r="S157" s="2093"/>
      <c r="T157" s="2093"/>
      <c r="U157" s="2093"/>
      <c r="V157" s="2093"/>
      <c r="W157" s="2093"/>
      <c r="X157" s="2093"/>
      <c r="Y157" s="2093"/>
      <c r="Z157" s="2093"/>
      <c r="AA157" s="2093"/>
      <c r="AB157" s="2093"/>
      <c r="AC157" s="819"/>
      <c r="AE157" s="819"/>
      <c r="AF157" s="819"/>
      <c r="AG157" s="819"/>
      <c r="AH157" s="819"/>
      <c r="AI157" s="819"/>
      <c r="AJ157" s="819"/>
      <c r="AK157" s="819"/>
      <c r="AL157" s="819"/>
      <c r="AM157" s="819"/>
      <c r="AN157" s="819"/>
      <c r="AO157" s="819"/>
      <c r="AP157" s="819"/>
      <c r="AQ157" s="819"/>
      <c r="AR157" s="819"/>
      <c r="AS157" s="819"/>
      <c r="AT157" s="819"/>
      <c r="AU157" s="819"/>
      <c r="AV157" s="819"/>
      <c r="AW157" s="819"/>
      <c r="AX157" s="819"/>
      <c r="AY157" s="819"/>
      <c r="AZ157" s="819"/>
      <c r="BA157" s="819"/>
    </row>
    <row r="158" spans="1:54" ht="13.5" customHeight="1">
      <c r="A158" s="819"/>
      <c r="B158" s="819"/>
      <c r="C158" s="819"/>
      <c r="D158" s="2093"/>
      <c r="E158" s="2093"/>
      <c r="F158" s="2093"/>
      <c r="G158" s="2093"/>
      <c r="H158" s="2093"/>
      <c r="I158" s="2093"/>
      <c r="J158" s="2093"/>
      <c r="K158" s="2093"/>
      <c r="L158" s="2093"/>
      <c r="M158" s="2093"/>
      <c r="N158" s="2093"/>
      <c r="O158" s="2093"/>
      <c r="P158" s="2093"/>
      <c r="Q158" s="2093"/>
      <c r="R158" s="2093"/>
      <c r="S158" s="2093"/>
      <c r="T158" s="2093"/>
      <c r="U158" s="2093"/>
      <c r="V158" s="2093"/>
      <c r="W158" s="2093"/>
      <c r="X158" s="2093"/>
      <c r="Y158" s="2093"/>
      <c r="Z158" s="2093"/>
      <c r="AA158" s="2093"/>
      <c r="AB158" s="2093"/>
      <c r="AC158" s="819"/>
      <c r="AE158" s="819"/>
      <c r="AF158" s="819"/>
      <c r="AG158" s="819"/>
      <c r="AH158" s="819"/>
      <c r="AI158" s="819"/>
      <c r="AJ158" s="819"/>
      <c r="AK158" s="819"/>
      <c r="AL158" s="819"/>
      <c r="AM158" s="819"/>
      <c r="AN158" s="819"/>
      <c r="AO158" s="819"/>
      <c r="AP158" s="819"/>
      <c r="AQ158" s="819"/>
      <c r="AR158" s="819"/>
      <c r="AS158" s="819"/>
      <c r="AT158" s="819"/>
      <c r="AU158" s="819"/>
      <c r="AV158" s="819"/>
      <c r="AW158" s="819"/>
      <c r="AX158" s="819"/>
      <c r="AY158" s="819"/>
      <c r="AZ158" s="819"/>
      <c r="BA158" s="819"/>
    </row>
    <row r="159" spans="1:54" ht="13.5" customHeight="1">
      <c r="A159" s="819"/>
      <c r="B159" s="819"/>
      <c r="C159" s="819"/>
      <c r="D159" s="2093"/>
      <c r="E159" s="2093"/>
      <c r="F159" s="2093"/>
      <c r="G159" s="2093"/>
      <c r="H159" s="2093"/>
      <c r="I159" s="2093"/>
      <c r="J159" s="2093"/>
      <c r="K159" s="2093"/>
      <c r="L159" s="2093"/>
      <c r="M159" s="2093"/>
      <c r="N159" s="2093"/>
      <c r="O159" s="2093"/>
      <c r="P159" s="2093"/>
      <c r="Q159" s="2093"/>
      <c r="R159" s="2093"/>
      <c r="S159" s="2093"/>
      <c r="T159" s="2093"/>
      <c r="U159" s="2093"/>
      <c r="V159" s="2093"/>
      <c r="W159" s="2093"/>
      <c r="X159" s="2093"/>
      <c r="Y159" s="2093"/>
      <c r="Z159" s="2093"/>
      <c r="AA159" s="2093"/>
      <c r="AB159" s="2093"/>
      <c r="AC159" s="819"/>
      <c r="AE159" s="819"/>
      <c r="AF159" s="819"/>
      <c r="AG159" s="819"/>
      <c r="AH159" s="819"/>
      <c r="AI159" s="819"/>
      <c r="AJ159" s="819"/>
      <c r="AK159" s="819"/>
      <c r="AL159" s="819"/>
      <c r="AM159" s="819"/>
      <c r="AN159" s="819"/>
      <c r="AO159" s="819"/>
      <c r="AP159" s="819"/>
      <c r="AQ159" s="819"/>
      <c r="AR159" s="819"/>
      <c r="AS159" s="819"/>
      <c r="AT159" s="819"/>
      <c r="AU159" s="819"/>
      <c r="AV159" s="819"/>
      <c r="AW159" s="819"/>
      <c r="AX159" s="819"/>
      <c r="AY159" s="819"/>
      <c r="AZ159" s="819"/>
      <c r="BA159" s="819"/>
    </row>
    <row r="160" spans="1:54" ht="13.5" customHeight="1" thickBot="1">
      <c r="B160" s="1323"/>
      <c r="C160" s="1323"/>
      <c r="D160" s="1331"/>
      <c r="E160" s="1331"/>
      <c r="F160" s="1331"/>
      <c r="G160" s="1331"/>
      <c r="H160" s="1331"/>
      <c r="I160" s="1331"/>
      <c r="J160" s="1331"/>
      <c r="K160" s="1331"/>
      <c r="L160" s="1331"/>
      <c r="M160" s="1331"/>
      <c r="N160" s="1331"/>
      <c r="O160" s="1331"/>
      <c r="P160" s="1331"/>
      <c r="Q160" s="1331"/>
      <c r="R160" s="1331"/>
      <c r="S160" s="1331"/>
      <c r="T160" s="1331"/>
      <c r="U160" s="1331"/>
      <c r="V160" s="1331"/>
      <c r="W160" s="1331"/>
      <c r="X160" s="1331"/>
      <c r="Y160" s="1331"/>
      <c r="Z160" s="1331"/>
      <c r="AA160" s="1331"/>
      <c r="AB160" s="1331"/>
      <c r="AC160" s="819"/>
      <c r="AE160" s="819"/>
      <c r="AF160" s="819"/>
      <c r="AG160" s="819"/>
      <c r="AH160" s="819"/>
      <c r="AI160" s="819"/>
      <c r="AJ160" s="819"/>
      <c r="AK160" s="819"/>
      <c r="AL160" s="819"/>
      <c r="AM160" s="819"/>
      <c r="AN160" s="819"/>
      <c r="AO160" s="819"/>
      <c r="AP160" s="819"/>
      <c r="AQ160" s="819"/>
      <c r="AR160" s="819"/>
      <c r="AS160" s="819"/>
      <c r="AT160" s="819"/>
      <c r="AU160" s="819"/>
      <c r="AV160" s="819"/>
      <c r="AW160" s="819"/>
      <c r="AX160" s="819"/>
      <c r="AY160" s="819"/>
      <c r="AZ160" s="819"/>
      <c r="BA160" s="819"/>
    </row>
    <row r="161" spans="1:54" ht="13.5" customHeight="1" thickTop="1">
      <c r="B161" s="819"/>
      <c r="C161" s="819"/>
      <c r="D161" s="819"/>
      <c r="E161" s="819"/>
      <c r="F161" s="819"/>
      <c r="G161" s="819"/>
      <c r="H161" s="819"/>
      <c r="I161" s="819"/>
      <c r="J161" s="819"/>
      <c r="K161" s="819"/>
      <c r="L161" s="819"/>
      <c r="M161" s="819"/>
      <c r="N161" s="819"/>
      <c r="O161" s="819"/>
      <c r="P161" s="819"/>
      <c r="Q161" s="819"/>
      <c r="R161" s="819"/>
      <c r="S161" s="819"/>
      <c r="T161" s="819"/>
      <c r="U161" s="819"/>
      <c r="V161" s="819"/>
      <c r="W161" s="819"/>
      <c r="X161" s="819"/>
      <c r="Y161" s="819"/>
      <c r="Z161" s="819"/>
      <c r="AA161" s="819"/>
      <c r="AB161" s="819"/>
      <c r="AC161" s="819"/>
      <c r="AE161" s="819"/>
      <c r="AF161" s="819"/>
      <c r="AG161" s="819"/>
      <c r="AH161" s="819"/>
      <c r="AI161" s="819"/>
      <c r="AJ161" s="819"/>
      <c r="AK161" s="819"/>
      <c r="AL161" s="819"/>
      <c r="AM161" s="819"/>
      <c r="AN161" s="819"/>
      <c r="AO161" s="819"/>
      <c r="AP161" s="819"/>
      <c r="AQ161" s="819"/>
      <c r="AR161" s="819"/>
      <c r="AS161" s="819"/>
      <c r="AT161" s="819"/>
      <c r="AU161" s="819"/>
      <c r="AV161" s="819"/>
      <c r="AW161" s="819"/>
      <c r="AX161" s="819"/>
      <c r="AY161" s="819"/>
      <c r="AZ161" s="819"/>
      <c r="BA161" s="819"/>
    </row>
    <row r="162" spans="1:54" ht="13.5" customHeight="1">
      <c r="A162" s="1403"/>
      <c r="B162" s="1403"/>
      <c r="C162" s="1403"/>
      <c r="D162" s="1403"/>
      <c r="H162" s="2012" t="s">
        <v>341</v>
      </c>
      <c r="I162" s="2012"/>
      <c r="U162" s="819"/>
      <c r="V162" s="819"/>
      <c r="W162" s="819"/>
      <c r="X162" s="819"/>
      <c r="Y162" s="819"/>
      <c r="Z162" s="819"/>
      <c r="AA162" s="819"/>
      <c r="AB162" s="819"/>
      <c r="AC162" s="819"/>
      <c r="AE162" s="819"/>
      <c r="AF162" s="819"/>
      <c r="AG162" s="819"/>
      <c r="AH162" s="819"/>
      <c r="AI162" s="819"/>
      <c r="AJ162" s="819"/>
      <c r="AK162" s="819"/>
      <c r="AL162" s="819"/>
      <c r="AM162" s="819"/>
      <c r="AN162" s="819"/>
      <c r="AO162" s="819"/>
      <c r="AP162" s="819"/>
      <c r="AQ162" s="819"/>
      <c r="AR162" s="819"/>
      <c r="AS162" s="819"/>
      <c r="AT162" s="819"/>
      <c r="AU162" s="819"/>
      <c r="AV162" s="819"/>
      <c r="AW162" s="819"/>
      <c r="AX162" s="819"/>
      <c r="AY162" s="819"/>
      <c r="AZ162" s="819"/>
      <c r="BB162" s="819"/>
    </row>
    <row r="163" spans="1:54" ht="13.5" customHeight="1">
      <c r="A163" s="1403"/>
      <c r="B163" s="1403"/>
      <c r="C163" s="1403"/>
      <c r="D163" s="1403"/>
      <c r="H163" s="554"/>
      <c r="U163" s="819"/>
      <c r="V163" s="819"/>
      <c r="W163" s="819"/>
      <c r="X163" s="819"/>
      <c r="Y163" s="819"/>
      <c r="Z163" s="819"/>
      <c r="AA163" s="819"/>
      <c r="AB163" s="819"/>
      <c r="AC163" s="819"/>
      <c r="AE163" s="819"/>
      <c r="AF163" s="819"/>
      <c r="AG163" s="819"/>
      <c r="AH163" s="819"/>
      <c r="AI163" s="819"/>
      <c r="AJ163" s="819"/>
      <c r="AK163" s="819"/>
      <c r="AL163" s="819"/>
      <c r="AM163" s="819"/>
      <c r="AN163" s="819"/>
      <c r="AO163" s="819"/>
      <c r="AP163" s="819"/>
      <c r="AQ163" s="819"/>
      <c r="AR163" s="819"/>
      <c r="AS163" s="819"/>
      <c r="AT163" s="819"/>
      <c r="AU163" s="819"/>
      <c r="AV163" s="819"/>
      <c r="AW163" s="819"/>
      <c r="AX163" s="819"/>
      <c r="AY163" s="819"/>
      <c r="AZ163" s="819"/>
      <c r="BB163" s="819"/>
    </row>
    <row r="164" spans="1:54" ht="13.5" customHeight="1" thickBot="1">
      <c r="A164" s="1403"/>
      <c r="C164" s="1403"/>
      <c r="D164" s="1403"/>
      <c r="H164" s="554"/>
      <c r="U164" s="819"/>
      <c r="V164" s="819"/>
      <c r="W164" s="819"/>
      <c r="X164" s="819"/>
      <c r="Y164" s="819"/>
      <c r="Z164" s="819"/>
      <c r="AA164" s="819"/>
      <c r="AB164" s="819"/>
      <c r="AC164" s="819"/>
      <c r="AE164" s="819"/>
      <c r="AF164" s="819"/>
      <c r="AG164" s="819"/>
      <c r="AH164" s="819"/>
      <c r="AI164" s="819"/>
      <c r="AJ164" s="819"/>
      <c r="AK164" s="819"/>
      <c r="AL164" s="819"/>
      <c r="AM164" s="819"/>
      <c r="AN164" s="819"/>
      <c r="AO164" s="819"/>
      <c r="AP164" s="819"/>
      <c r="AQ164" s="819"/>
      <c r="AR164" s="819"/>
      <c r="AS164" s="819"/>
      <c r="AT164" s="819"/>
      <c r="AU164" s="819"/>
      <c r="AV164" s="819"/>
      <c r="AW164" s="819"/>
      <c r="AX164" s="819"/>
      <c r="AY164" s="819"/>
      <c r="AZ164" s="819"/>
      <c r="BB164" s="819"/>
    </row>
    <row r="165" spans="1:54" ht="13.5" customHeight="1" thickTop="1" thickBot="1">
      <c r="A165" s="1403"/>
      <c r="C165" s="819"/>
      <c r="D165" s="819"/>
      <c r="E165" s="1408"/>
      <c r="F165" s="2015" t="s">
        <v>69</v>
      </c>
      <c r="G165" s="549"/>
      <c r="H165" s="571"/>
      <c r="I165" s="551"/>
      <c r="J165" s="1408"/>
      <c r="K165" s="2013" t="s">
        <v>1473</v>
      </c>
      <c r="L165" s="1408"/>
      <c r="U165" s="819"/>
      <c r="V165" s="819"/>
      <c r="W165" s="819"/>
      <c r="X165" s="819"/>
      <c r="Y165" s="819"/>
      <c r="Z165" s="819"/>
      <c r="AA165" s="819"/>
      <c r="AB165" s="819"/>
      <c r="AC165" s="819"/>
      <c r="AE165" s="819"/>
      <c r="AF165" s="819"/>
      <c r="AG165" s="819"/>
      <c r="AH165" s="819"/>
      <c r="AI165" s="819"/>
      <c r="AJ165" s="819"/>
      <c r="AK165" s="819"/>
      <c r="AL165" s="819"/>
      <c r="AM165" s="819"/>
      <c r="AN165" s="819"/>
      <c r="AO165" s="819"/>
      <c r="AP165" s="819"/>
      <c r="AQ165" s="819"/>
      <c r="AR165" s="819"/>
      <c r="AS165" s="819"/>
      <c r="AT165" s="819"/>
      <c r="AU165" s="819"/>
      <c r="AV165" s="819"/>
      <c r="AW165" s="819"/>
      <c r="AX165" s="819"/>
      <c r="AY165" s="819"/>
      <c r="AZ165" s="819"/>
      <c r="BB165" s="819"/>
    </row>
    <row r="166" spans="1:54" ht="12.75" customHeight="1" thickTop="1" thickBot="1">
      <c r="A166" s="1403"/>
      <c r="B166" s="1403"/>
      <c r="C166" s="819"/>
      <c r="D166" s="819"/>
      <c r="E166" s="548"/>
      <c r="F166" s="2016"/>
      <c r="K166" s="2014"/>
      <c r="L166" s="553"/>
      <c r="U166" s="819"/>
      <c r="V166" s="819"/>
      <c r="W166" s="819"/>
      <c r="X166" s="819"/>
      <c r="Y166" s="819"/>
      <c r="Z166" s="819"/>
      <c r="AA166" s="819"/>
      <c r="AB166" s="819"/>
      <c r="AC166" s="819"/>
      <c r="AE166" s="819"/>
      <c r="AF166" s="819"/>
      <c r="AG166" s="819"/>
      <c r="AH166" s="819"/>
      <c r="AI166" s="819"/>
      <c r="AJ166" s="819"/>
      <c r="AK166" s="819"/>
      <c r="AL166" s="819"/>
      <c r="AM166" s="819"/>
      <c r="AN166" s="819"/>
      <c r="AO166" s="819"/>
      <c r="AP166" s="819"/>
      <c r="AQ166" s="819"/>
      <c r="AR166" s="819"/>
      <c r="AS166" s="819"/>
      <c r="AT166" s="819"/>
      <c r="AU166" s="819"/>
      <c r="AV166" s="819"/>
      <c r="AW166" s="819"/>
      <c r="AX166" s="819"/>
      <c r="AY166" s="819"/>
      <c r="AZ166" s="819"/>
      <c r="BB166" s="819"/>
    </row>
    <row r="167" spans="1:54" ht="12.75" customHeight="1" thickTop="1" thickBot="1">
      <c r="A167" s="1403"/>
      <c r="B167" s="2011" t="s">
        <v>349</v>
      </c>
      <c r="C167" s="2020" t="s">
        <v>334</v>
      </c>
      <c r="D167" s="2024"/>
      <c r="E167" s="1403"/>
      <c r="F167" s="1403"/>
      <c r="L167" s="554"/>
      <c r="M167" s="2019" t="s">
        <v>338</v>
      </c>
      <c r="N167" s="2020"/>
      <c r="U167" s="819"/>
      <c r="V167" s="819"/>
      <c r="W167" s="819"/>
      <c r="X167" s="819"/>
      <c r="Y167" s="819"/>
      <c r="Z167" s="819"/>
      <c r="AA167" s="819"/>
      <c r="AB167" s="819"/>
      <c r="AC167" s="819"/>
      <c r="AE167" s="819"/>
      <c r="AF167" s="819"/>
      <c r="AG167" s="819"/>
      <c r="AH167" s="819"/>
      <c r="AI167" s="819"/>
      <c r="AJ167" s="819"/>
      <c r="AK167" s="819"/>
      <c r="AL167" s="819"/>
      <c r="AM167" s="819"/>
      <c r="AN167" s="819"/>
      <c r="AO167" s="819"/>
      <c r="AP167" s="819"/>
      <c r="AQ167" s="819"/>
      <c r="AR167" s="819"/>
      <c r="AS167" s="819"/>
      <c r="AT167" s="819"/>
      <c r="AU167" s="819"/>
      <c r="AV167" s="819"/>
      <c r="AW167" s="819"/>
      <c r="AX167" s="819"/>
      <c r="AY167" s="819"/>
      <c r="AZ167" s="819"/>
      <c r="BB167" s="819"/>
    </row>
    <row r="168" spans="1:54" ht="13.5" customHeight="1" thickTop="1" thickBot="1">
      <c r="B168" s="2011"/>
      <c r="C168" s="1339"/>
      <c r="D168" s="1340"/>
      <c r="E168" s="819"/>
      <c r="F168" s="819"/>
      <c r="G168" s="819"/>
      <c r="H168" s="819"/>
      <c r="I168" s="819"/>
      <c r="J168" s="819"/>
      <c r="K168" s="819"/>
      <c r="L168" s="1336"/>
      <c r="M168" s="819"/>
      <c r="N168" s="819"/>
      <c r="O168" s="819"/>
      <c r="P168" s="819"/>
      <c r="Q168" s="819"/>
      <c r="R168" s="819"/>
      <c r="S168" s="819"/>
      <c r="T168" s="819"/>
      <c r="U168" s="819"/>
      <c r="V168" s="819"/>
      <c r="W168" s="819"/>
      <c r="X168" s="819"/>
      <c r="Y168" s="819"/>
      <c r="Z168" s="819"/>
      <c r="AA168" s="819"/>
      <c r="AB168" s="819"/>
      <c r="AC168" s="819"/>
      <c r="AE168" s="819"/>
      <c r="AF168" s="819"/>
      <c r="AG168" s="819"/>
      <c r="AH168" s="819"/>
      <c r="AI168" s="819"/>
      <c r="AJ168" s="819"/>
      <c r="AK168" s="819"/>
      <c r="AL168" s="819"/>
      <c r="AM168" s="819"/>
      <c r="AN168" s="819"/>
      <c r="AO168" s="819"/>
      <c r="AP168" s="819"/>
      <c r="AQ168" s="819"/>
      <c r="AR168" s="819"/>
      <c r="AS168" s="819"/>
      <c r="AT168" s="819"/>
      <c r="AU168" s="819"/>
      <c r="AV168" s="819"/>
      <c r="AW168" s="819"/>
      <c r="AX168" s="819"/>
      <c r="AY168" s="819"/>
      <c r="AZ168" s="819"/>
      <c r="BB168" s="819"/>
    </row>
    <row r="169" spans="1:54" ht="13.5" customHeight="1" thickTop="1" thickBot="1">
      <c r="B169" s="819"/>
      <c r="C169" s="819"/>
      <c r="D169" s="1336"/>
      <c r="E169" s="1341"/>
      <c r="F169" s="2013" t="s">
        <v>1478</v>
      </c>
      <c r="G169" s="1332"/>
      <c r="H169" s="1332"/>
      <c r="I169" s="1332"/>
      <c r="J169" s="1332"/>
      <c r="K169" s="2009" t="s">
        <v>1475</v>
      </c>
      <c r="L169" s="1333"/>
      <c r="M169" s="819"/>
      <c r="N169" s="819"/>
      <c r="O169" s="819"/>
      <c r="P169" s="819"/>
      <c r="Q169" s="819"/>
      <c r="R169" s="819"/>
      <c r="S169" s="819"/>
      <c r="T169" s="819"/>
      <c r="U169" s="819"/>
      <c r="V169" s="819"/>
      <c r="W169" s="819"/>
      <c r="X169" s="819"/>
      <c r="Y169" s="819"/>
      <c r="Z169" s="819"/>
      <c r="AA169" s="819"/>
      <c r="AB169" s="819"/>
      <c r="AC169" s="819"/>
      <c r="AE169" s="819"/>
      <c r="AF169" s="819"/>
      <c r="AG169" s="819"/>
      <c r="AH169" s="819"/>
      <c r="AI169" s="819"/>
      <c r="AJ169" s="819"/>
      <c r="AK169" s="819"/>
      <c r="AL169" s="819"/>
      <c r="AM169" s="819"/>
      <c r="AN169" s="819"/>
      <c r="AO169" s="819"/>
      <c r="AP169" s="819"/>
      <c r="AQ169" s="819"/>
      <c r="AR169" s="819"/>
      <c r="AS169" s="819"/>
      <c r="AT169" s="819"/>
      <c r="AU169" s="819"/>
      <c r="AV169" s="819"/>
      <c r="AW169" s="819"/>
      <c r="AX169" s="819"/>
      <c r="AY169" s="819"/>
      <c r="AZ169" s="819"/>
      <c r="BA169" s="819"/>
    </row>
    <row r="170" spans="1:54" ht="12.75" customHeight="1" thickTop="1" thickBot="1">
      <c r="B170" s="819"/>
      <c r="C170" s="819"/>
      <c r="D170" s="819"/>
      <c r="E170" s="819"/>
      <c r="F170" s="2014"/>
      <c r="G170" s="819"/>
      <c r="H170" s="554"/>
      <c r="J170" s="819"/>
      <c r="K170" s="2010"/>
      <c r="L170" s="819"/>
      <c r="M170" s="819"/>
      <c r="N170" s="819"/>
      <c r="O170" s="819"/>
      <c r="P170" s="819"/>
      <c r="Q170" s="819"/>
      <c r="R170" s="819"/>
      <c r="S170" s="819"/>
      <c r="T170" s="819"/>
      <c r="U170" s="819"/>
      <c r="V170" s="819"/>
      <c r="W170" s="819"/>
      <c r="X170" s="819"/>
      <c r="Y170" s="819"/>
      <c r="Z170" s="819"/>
      <c r="AA170" s="819"/>
      <c r="AB170" s="819"/>
      <c r="AC170" s="819"/>
      <c r="AE170" s="819"/>
      <c r="AF170" s="819"/>
      <c r="AG170" s="819"/>
      <c r="AH170" s="819"/>
      <c r="AI170" s="819"/>
      <c r="AJ170" s="819"/>
      <c r="AK170" s="819"/>
      <c r="AL170" s="819"/>
      <c r="AM170" s="819"/>
      <c r="AN170" s="819"/>
      <c r="AO170" s="819"/>
      <c r="AP170" s="819"/>
      <c r="AQ170" s="819"/>
      <c r="AR170" s="819"/>
      <c r="AS170" s="819"/>
      <c r="AT170" s="819"/>
      <c r="AU170" s="819"/>
      <c r="AV170" s="819"/>
      <c r="AW170" s="819"/>
      <c r="AX170" s="819"/>
      <c r="AY170" s="819"/>
      <c r="AZ170" s="819"/>
      <c r="BA170" s="819"/>
    </row>
    <row r="171" spans="1:54" ht="12.75" customHeight="1">
      <c r="B171" s="819"/>
      <c r="C171" s="819"/>
      <c r="D171" s="819"/>
      <c r="E171" s="819"/>
      <c r="F171" s="819"/>
      <c r="G171" s="819"/>
      <c r="H171" s="554"/>
      <c r="J171" s="819"/>
      <c r="K171" s="819"/>
      <c r="L171" s="819"/>
      <c r="M171" s="819"/>
      <c r="N171" s="819"/>
      <c r="O171" s="819"/>
      <c r="P171" s="819"/>
      <c r="Q171" s="819"/>
      <c r="R171" s="819"/>
      <c r="S171" s="819"/>
      <c r="T171" s="819"/>
      <c r="U171" s="819"/>
      <c r="V171" s="819"/>
      <c r="W171" s="819"/>
      <c r="X171" s="819"/>
      <c r="Y171" s="819"/>
      <c r="Z171" s="819"/>
      <c r="AA171" s="819"/>
      <c r="AB171" s="819"/>
      <c r="AC171" s="819"/>
      <c r="AE171" s="819"/>
      <c r="AF171" s="819"/>
      <c r="AG171" s="819"/>
      <c r="AH171" s="819"/>
      <c r="AI171" s="819"/>
      <c r="AJ171" s="819"/>
      <c r="AK171" s="819"/>
      <c r="AL171" s="819"/>
      <c r="AM171" s="819"/>
      <c r="AN171" s="819"/>
      <c r="AO171" s="819"/>
      <c r="AP171" s="819"/>
      <c r="AQ171" s="819"/>
      <c r="AR171" s="819"/>
      <c r="AS171" s="819"/>
      <c r="AT171" s="819"/>
      <c r="AU171" s="819"/>
      <c r="AV171" s="819"/>
      <c r="AW171" s="819"/>
      <c r="AX171" s="819"/>
      <c r="AY171" s="819"/>
      <c r="AZ171" s="819"/>
      <c r="BA171" s="819"/>
    </row>
    <row r="172" spans="1:54" ht="13.5" customHeight="1">
      <c r="B172" s="819"/>
      <c r="C172" s="819"/>
      <c r="D172" s="819"/>
      <c r="E172" s="819"/>
      <c r="F172" s="819"/>
      <c r="G172" s="819"/>
      <c r="H172" s="567"/>
      <c r="I172" s="533"/>
      <c r="J172" s="819"/>
      <c r="K172" s="819"/>
      <c r="L172" s="819"/>
      <c r="M172" s="819"/>
      <c r="N172" s="819"/>
      <c r="O172" s="819"/>
      <c r="P172" s="819"/>
      <c r="Q172" s="819"/>
      <c r="R172" s="819"/>
      <c r="S172" s="819"/>
      <c r="T172" s="819"/>
      <c r="U172" s="819"/>
      <c r="V172" s="819"/>
      <c r="W172" s="819"/>
      <c r="X172" s="819"/>
      <c r="Y172" s="819"/>
      <c r="Z172" s="819"/>
      <c r="AA172" s="819"/>
      <c r="AB172" s="819"/>
      <c r="AC172" s="819"/>
      <c r="AE172" s="819"/>
      <c r="AF172" s="819"/>
      <c r="AG172" s="819"/>
      <c r="AH172" s="819"/>
      <c r="AI172" s="819"/>
      <c r="AJ172" s="819"/>
      <c r="AK172" s="819"/>
      <c r="AL172" s="819"/>
      <c r="AM172" s="819"/>
      <c r="AN172" s="819"/>
      <c r="AO172" s="819"/>
      <c r="AP172" s="819"/>
      <c r="AQ172" s="819"/>
      <c r="AR172" s="819"/>
      <c r="AS172" s="819"/>
      <c r="AT172" s="819"/>
      <c r="AU172" s="819"/>
      <c r="AV172" s="819"/>
      <c r="AW172" s="819"/>
      <c r="AX172" s="819"/>
      <c r="AY172" s="819"/>
      <c r="AZ172" s="819"/>
      <c r="BA172" s="819"/>
    </row>
    <row r="173" spans="1:54" ht="13.5" customHeight="1">
      <c r="B173" s="819"/>
      <c r="C173" s="819"/>
      <c r="D173" s="819"/>
      <c r="E173" s="819"/>
      <c r="F173" s="819"/>
      <c r="G173" s="819"/>
      <c r="H173" s="2012" t="s">
        <v>1480</v>
      </c>
      <c r="I173" s="2012"/>
      <c r="J173" s="819"/>
      <c r="K173" s="819"/>
      <c r="L173" s="819"/>
      <c r="M173" s="819"/>
      <c r="N173" s="819"/>
      <c r="O173" s="819"/>
      <c r="P173" s="819"/>
      <c r="Q173" s="819"/>
      <c r="R173" s="819"/>
      <c r="S173" s="819"/>
      <c r="T173" s="819"/>
      <c r="U173" s="819"/>
      <c r="V173" s="819"/>
      <c r="W173" s="819"/>
      <c r="X173" s="819"/>
      <c r="Y173" s="819"/>
      <c r="Z173" s="819"/>
      <c r="AA173" s="819"/>
      <c r="AB173" s="819"/>
      <c r="AC173" s="819"/>
      <c r="AE173" s="819"/>
      <c r="AF173" s="819"/>
      <c r="AG173" s="819"/>
      <c r="AH173" s="819"/>
      <c r="AI173" s="819"/>
      <c r="AJ173" s="819"/>
      <c r="AK173" s="819"/>
      <c r="AL173" s="819"/>
      <c r="AM173" s="819"/>
      <c r="AN173" s="819"/>
      <c r="AO173" s="819"/>
      <c r="AP173" s="819"/>
      <c r="AQ173" s="819"/>
      <c r="AR173" s="819"/>
      <c r="AS173" s="819"/>
      <c r="AT173" s="819"/>
      <c r="AU173" s="819"/>
      <c r="AV173" s="819"/>
      <c r="AW173" s="819"/>
      <c r="AX173" s="819"/>
      <c r="AY173" s="819"/>
      <c r="AZ173" s="819"/>
      <c r="BA173" s="819"/>
    </row>
    <row r="174" spans="1:54" ht="13.5" customHeight="1">
      <c r="B174" s="819"/>
      <c r="C174" s="819"/>
      <c r="D174" s="819"/>
      <c r="E174" s="819"/>
      <c r="F174" s="819"/>
      <c r="G174" s="819"/>
      <c r="H174" s="590"/>
      <c r="I174" s="590"/>
      <c r="J174" s="819"/>
      <c r="K174" s="819"/>
      <c r="L174" s="819"/>
      <c r="M174" s="819"/>
      <c r="N174" s="819"/>
      <c r="O174" s="819"/>
      <c r="P174" s="819"/>
      <c r="Q174" s="819"/>
      <c r="R174" s="819"/>
      <c r="S174" s="819"/>
      <c r="T174" s="819"/>
      <c r="U174" s="819"/>
      <c r="V174" s="819"/>
      <c r="W174" s="819"/>
      <c r="X174" s="819"/>
      <c r="Y174" s="819"/>
      <c r="Z174" s="819"/>
      <c r="AA174" s="819"/>
      <c r="AB174" s="819"/>
      <c r="AC174" s="819"/>
      <c r="AE174" s="819"/>
      <c r="AF174" s="819"/>
      <c r="AG174" s="819"/>
      <c r="AH174" s="819"/>
      <c r="AI174" s="819"/>
      <c r="AJ174" s="819"/>
      <c r="AK174" s="819"/>
      <c r="AL174" s="819"/>
      <c r="AM174" s="819"/>
      <c r="AN174" s="819"/>
      <c r="AO174" s="819"/>
      <c r="AP174" s="819"/>
      <c r="AQ174" s="819"/>
      <c r="AR174" s="819"/>
      <c r="AS174" s="819"/>
      <c r="AT174" s="819"/>
      <c r="AU174" s="819"/>
      <c r="AV174" s="819"/>
      <c r="AW174" s="819"/>
      <c r="AX174" s="819"/>
      <c r="AY174" s="819"/>
      <c r="AZ174" s="819"/>
      <c r="BA174" s="819"/>
    </row>
    <row r="175" spans="1:54" ht="13.5" customHeight="1">
      <c r="A175" s="1403"/>
      <c r="B175" s="1403"/>
      <c r="C175" s="2008" t="s">
        <v>1485</v>
      </c>
      <c r="D175" s="2008"/>
      <c r="U175" s="819"/>
      <c r="V175" s="819"/>
      <c r="W175" s="819"/>
      <c r="X175" s="819"/>
      <c r="Y175" s="819"/>
      <c r="Z175" s="819"/>
      <c r="AA175" s="819"/>
      <c r="AB175" s="819"/>
      <c r="AC175" s="819"/>
      <c r="AE175" s="819"/>
      <c r="AF175" s="819"/>
      <c r="AG175" s="819"/>
      <c r="AH175" s="819"/>
      <c r="AI175" s="819"/>
      <c r="AJ175" s="819"/>
      <c r="AK175" s="819"/>
      <c r="AL175" s="819"/>
      <c r="AM175" s="819"/>
      <c r="AN175" s="819"/>
      <c r="AO175" s="819"/>
      <c r="AP175" s="819"/>
      <c r="AQ175" s="819"/>
      <c r="AR175" s="819"/>
      <c r="AS175" s="819"/>
      <c r="AT175" s="819"/>
      <c r="AU175" s="819"/>
      <c r="AV175" s="819"/>
      <c r="AW175" s="819"/>
      <c r="AX175" s="819"/>
      <c r="AY175" s="819"/>
      <c r="AZ175" s="819"/>
      <c r="BA175" s="819"/>
    </row>
    <row r="176" spans="1:54" ht="13.5" customHeight="1">
      <c r="A176" s="819"/>
      <c r="B176" s="819"/>
      <c r="C176" s="819"/>
      <c r="D176" s="2093" t="s">
        <v>1491</v>
      </c>
      <c r="E176" s="2093"/>
      <c r="F176" s="2093"/>
      <c r="G176" s="2093"/>
      <c r="H176" s="2093"/>
      <c r="I176" s="2093"/>
      <c r="J176" s="2093"/>
      <c r="K176" s="2093"/>
      <c r="L176" s="2093"/>
      <c r="M176" s="2093"/>
      <c r="N176" s="2093"/>
      <c r="O176" s="2093"/>
      <c r="P176" s="2093"/>
      <c r="Q176" s="2093"/>
      <c r="R176" s="2093"/>
      <c r="S176" s="2093"/>
      <c r="T176" s="2093"/>
      <c r="U176" s="2093"/>
      <c r="V176" s="2093"/>
      <c r="W176" s="2093"/>
      <c r="X176" s="2093"/>
      <c r="Y176" s="2093"/>
      <c r="Z176" s="2093"/>
      <c r="AA176" s="2093"/>
      <c r="AB176" s="2093"/>
      <c r="AC176" s="819"/>
      <c r="AE176" s="819"/>
      <c r="AF176" s="819"/>
      <c r="AG176" s="819"/>
      <c r="AH176" s="819"/>
      <c r="AI176" s="819"/>
      <c r="AJ176" s="819"/>
      <c r="AK176" s="819"/>
      <c r="AL176" s="819"/>
      <c r="AM176" s="819"/>
      <c r="AN176" s="819"/>
      <c r="AO176" s="819"/>
      <c r="AP176" s="819"/>
      <c r="AQ176" s="819"/>
      <c r="AR176" s="819"/>
      <c r="AS176" s="819"/>
      <c r="AT176" s="819"/>
      <c r="AU176" s="819"/>
      <c r="AV176" s="819"/>
      <c r="AW176" s="819"/>
      <c r="AX176" s="819"/>
      <c r="AY176" s="819"/>
      <c r="AZ176" s="819"/>
      <c r="BB176" s="819"/>
    </row>
    <row r="177" spans="1:58" ht="13.5" customHeight="1">
      <c r="A177" s="819"/>
      <c r="B177" s="819"/>
      <c r="C177" s="819"/>
      <c r="D177" s="2093"/>
      <c r="E177" s="2093"/>
      <c r="F177" s="2093"/>
      <c r="G177" s="2093"/>
      <c r="H177" s="2093"/>
      <c r="I177" s="2093"/>
      <c r="J177" s="2093"/>
      <c r="K177" s="2093"/>
      <c r="L177" s="2093"/>
      <c r="M177" s="2093"/>
      <c r="N177" s="2093"/>
      <c r="O177" s="2093"/>
      <c r="P177" s="2093"/>
      <c r="Q177" s="2093"/>
      <c r="R177" s="2093"/>
      <c r="S177" s="2093"/>
      <c r="T177" s="2093"/>
      <c r="U177" s="2093"/>
      <c r="V177" s="2093"/>
      <c r="W177" s="2093"/>
      <c r="X177" s="2093"/>
      <c r="Y177" s="2093"/>
      <c r="Z177" s="2093"/>
      <c r="AA177" s="2093"/>
      <c r="AB177" s="2093"/>
      <c r="AC177" s="819"/>
      <c r="AE177" s="819"/>
      <c r="AF177" s="819"/>
      <c r="AG177" s="819"/>
      <c r="AH177" s="819"/>
      <c r="AI177" s="819"/>
      <c r="AJ177" s="819"/>
      <c r="AK177" s="819"/>
      <c r="AL177" s="819"/>
      <c r="AM177" s="819"/>
      <c r="AN177" s="819"/>
      <c r="AO177" s="819"/>
      <c r="AP177" s="819"/>
      <c r="AQ177" s="819"/>
      <c r="AR177" s="819"/>
      <c r="AS177" s="819"/>
      <c r="AT177" s="819"/>
      <c r="AU177" s="819"/>
      <c r="AV177" s="819"/>
      <c r="AW177" s="819"/>
      <c r="AX177" s="819"/>
      <c r="AY177" s="819"/>
      <c r="AZ177" s="819"/>
      <c r="BA177" s="819"/>
      <c r="BC177" s="819"/>
      <c r="BD177" s="819"/>
      <c r="BE177" s="819"/>
      <c r="BF177" s="819"/>
    </row>
    <row r="178" spans="1:58" ht="13.5" customHeight="1">
      <c r="A178" s="819"/>
      <c r="B178" s="819"/>
      <c r="C178" s="819"/>
      <c r="D178" s="2093"/>
      <c r="E178" s="2093"/>
      <c r="F178" s="2093"/>
      <c r="G178" s="2093"/>
      <c r="H178" s="2093"/>
      <c r="I178" s="2093"/>
      <c r="J178" s="2093"/>
      <c r="K178" s="2093"/>
      <c r="L178" s="2093"/>
      <c r="M178" s="2093"/>
      <c r="N178" s="2093"/>
      <c r="O178" s="2093"/>
      <c r="P178" s="2093"/>
      <c r="Q178" s="2093"/>
      <c r="R178" s="2093"/>
      <c r="S178" s="2093"/>
      <c r="T178" s="2093"/>
      <c r="U178" s="2093"/>
      <c r="V178" s="2093"/>
      <c r="W178" s="2093"/>
      <c r="X178" s="2093"/>
      <c r="Y178" s="2093"/>
      <c r="Z178" s="2093"/>
      <c r="AA178" s="2093"/>
      <c r="AB178" s="2093"/>
      <c r="AC178" s="819"/>
      <c r="AE178" s="819"/>
      <c r="AF178" s="819"/>
      <c r="AG178" s="819"/>
      <c r="AH178" s="819"/>
      <c r="AI178" s="819"/>
      <c r="AJ178" s="819"/>
      <c r="AK178" s="819"/>
      <c r="AL178" s="819"/>
      <c r="AM178" s="819"/>
      <c r="AN178" s="819"/>
      <c r="AO178" s="819"/>
      <c r="AP178" s="819"/>
      <c r="AQ178" s="819"/>
      <c r="AR178" s="819"/>
      <c r="AS178" s="819"/>
      <c r="AT178" s="819"/>
      <c r="AU178" s="819"/>
      <c r="AV178" s="819"/>
      <c r="AW178" s="819"/>
      <c r="AX178" s="819"/>
      <c r="AY178" s="819"/>
      <c r="AZ178" s="819"/>
      <c r="BA178" s="819"/>
      <c r="BC178" s="819"/>
      <c r="BD178" s="819"/>
      <c r="BE178" s="819"/>
      <c r="BF178" s="819"/>
    </row>
    <row r="179" spans="1:58" ht="13.5" customHeight="1">
      <c r="A179" s="819"/>
      <c r="B179" s="819"/>
      <c r="C179" s="819"/>
      <c r="D179" s="2093"/>
      <c r="E179" s="2093"/>
      <c r="F179" s="2093"/>
      <c r="G179" s="2093"/>
      <c r="H179" s="2093"/>
      <c r="I179" s="2093"/>
      <c r="J179" s="2093"/>
      <c r="K179" s="2093"/>
      <c r="L179" s="2093"/>
      <c r="M179" s="2093"/>
      <c r="N179" s="2093"/>
      <c r="O179" s="2093"/>
      <c r="P179" s="2093"/>
      <c r="Q179" s="2093"/>
      <c r="R179" s="2093"/>
      <c r="S179" s="2093"/>
      <c r="T179" s="2093"/>
      <c r="U179" s="2093"/>
      <c r="V179" s="2093"/>
      <c r="W179" s="2093"/>
      <c r="X179" s="2093"/>
      <c r="Y179" s="2093"/>
      <c r="Z179" s="2093"/>
      <c r="AA179" s="2093"/>
      <c r="AB179" s="2093"/>
      <c r="AC179" s="819"/>
      <c r="AE179" s="819"/>
      <c r="AF179" s="819"/>
      <c r="AG179" s="819"/>
      <c r="AH179" s="819"/>
      <c r="AI179" s="819"/>
      <c r="AJ179" s="819"/>
      <c r="AK179" s="819"/>
      <c r="AL179" s="819"/>
      <c r="AM179" s="819"/>
      <c r="AN179" s="819"/>
      <c r="AO179" s="819"/>
      <c r="AP179" s="819"/>
      <c r="AQ179" s="819"/>
      <c r="AR179" s="819"/>
      <c r="AS179" s="819"/>
      <c r="AT179" s="819"/>
      <c r="AU179" s="819"/>
      <c r="AV179" s="819"/>
      <c r="AW179" s="819"/>
      <c r="AX179" s="819"/>
      <c r="AY179" s="819"/>
      <c r="AZ179" s="819"/>
      <c r="BA179" s="819"/>
      <c r="BC179" s="819"/>
      <c r="BD179" s="819"/>
      <c r="BE179" s="819"/>
      <c r="BF179" s="819"/>
    </row>
    <row r="180" spans="1:58" ht="13.5" customHeight="1">
      <c r="A180" s="819"/>
      <c r="B180" s="819"/>
      <c r="C180" s="819"/>
      <c r="D180" s="2093"/>
      <c r="E180" s="2093"/>
      <c r="F180" s="2093"/>
      <c r="G180" s="2093"/>
      <c r="H180" s="2093"/>
      <c r="I180" s="2093"/>
      <c r="J180" s="2093"/>
      <c r="K180" s="2093"/>
      <c r="L180" s="2093"/>
      <c r="M180" s="2093"/>
      <c r="N180" s="2093"/>
      <c r="O180" s="2093"/>
      <c r="P180" s="2093"/>
      <c r="Q180" s="2093"/>
      <c r="R180" s="2093"/>
      <c r="S180" s="2093"/>
      <c r="T180" s="2093"/>
      <c r="U180" s="2093"/>
      <c r="V180" s="2093"/>
      <c r="W180" s="2093"/>
      <c r="X180" s="2093"/>
      <c r="Y180" s="2093"/>
      <c r="Z180" s="2093"/>
      <c r="AA180" s="2093"/>
      <c r="AB180" s="2093"/>
      <c r="AC180" s="819"/>
      <c r="AE180" s="819"/>
      <c r="AF180" s="819"/>
      <c r="AG180" s="819"/>
      <c r="AH180" s="819"/>
      <c r="AI180" s="819"/>
      <c r="AJ180" s="819"/>
      <c r="AK180" s="819"/>
      <c r="AL180" s="819"/>
      <c r="AM180" s="819"/>
      <c r="AN180" s="819"/>
      <c r="AO180" s="819"/>
      <c r="AP180" s="819"/>
      <c r="AQ180" s="819"/>
      <c r="AR180" s="819"/>
      <c r="AS180" s="819"/>
      <c r="AT180" s="819"/>
      <c r="AU180" s="819"/>
      <c r="AV180" s="819"/>
      <c r="AW180" s="819"/>
      <c r="AX180" s="819"/>
      <c r="AY180" s="819"/>
      <c r="AZ180" s="819"/>
      <c r="BA180" s="819"/>
      <c r="BC180" s="819"/>
      <c r="BD180" s="819"/>
      <c r="BE180" s="819"/>
      <c r="BF180" s="819"/>
    </row>
    <row r="181" spans="1:58" ht="13.5" customHeight="1" thickBot="1">
      <c r="B181" s="1323"/>
      <c r="C181" s="1323"/>
      <c r="D181" s="1331"/>
      <c r="E181" s="1331"/>
      <c r="F181" s="1331"/>
      <c r="G181" s="1331"/>
      <c r="H181" s="1331"/>
      <c r="I181" s="1331"/>
      <c r="J181" s="1331"/>
      <c r="K181" s="1331"/>
      <c r="L181" s="1331"/>
      <c r="M181" s="1331"/>
      <c r="N181" s="1331"/>
      <c r="O181" s="1331"/>
      <c r="P181" s="1331"/>
      <c r="Q181" s="1331"/>
      <c r="R181" s="1331"/>
      <c r="S181" s="1331"/>
      <c r="T181" s="1331"/>
      <c r="U181" s="1331"/>
      <c r="V181" s="1331"/>
      <c r="W181" s="1331"/>
      <c r="X181" s="1331"/>
      <c r="Y181" s="1331"/>
      <c r="Z181" s="1331"/>
      <c r="AA181" s="1331"/>
      <c r="AB181" s="1331"/>
      <c r="AC181" s="819"/>
      <c r="AE181" s="819"/>
      <c r="AF181" s="819"/>
      <c r="AG181" s="819"/>
      <c r="AH181" s="819"/>
      <c r="AI181" s="819"/>
      <c r="AJ181" s="819"/>
      <c r="AK181" s="819"/>
      <c r="AL181" s="819"/>
      <c r="AM181" s="819"/>
      <c r="AN181" s="819"/>
      <c r="AO181" s="819"/>
      <c r="AP181" s="819"/>
      <c r="AQ181" s="819"/>
      <c r="AR181" s="819"/>
      <c r="AS181" s="819"/>
      <c r="AT181" s="819"/>
      <c r="AU181" s="819"/>
      <c r="AV181" s="819"/>
      <c r="AW181" s="819"/>
      <c r="AX181" s="819"/>
      <c r="AY181" s="819"/>
      <c r="AZ181" s="819"/>
      <c r="BA181" s="819"/>
      <c r="BC181" s="819"/>
      <c r="BD181" s="819"/>
      <c r="BE181" s="819"/>
      <c r="BF181" s="819"/>
    </row>
    <row r="182" spans="1:58" ht="13.5" customHeight="1" thickTop="1">
      <c r="B182" s="819"/>
      <c r="C182" s="819"/>
      <c r="D182" s="1338"/>
      <c r="E182" s="1338"/>
      <c r="F182" s="1338"/>
      <c r="G182" s="1338"/>
      <c r="H182" s="1338"/>
      <c r="I182" s="1338"/>
      <c r="J182" s="1338"/>
      <c r="K182" s="1338"/>
      <c r="L182" s="1338"/>
      <c r="M182" s="1338"/>
      <c r="N182" s="1338"/>
      <c r="O182" s="1338"/>
      <c r="P182" s="1338"/>
      <c r="Q182" s="1338"/>
      <c r="R182" s="1338"/>
      <c r="S182" s="1338"/>
      <c r="T182" s="1338"/>
      <c r="U182" s="1338"/>
      <c r="V182" s="1338"/>
      <c r="W182" s="1338"/>
      <c r="X182" s="1338"/>
      <c r="Y182" s="1338"/>
      <c r="Z182" s="1338"/>
      <c r="AA182" s="1338"/>
      <c r="AB182" s="1338"/>
      <c r="AC182" s="819"/>
      <c r="AE182" s="819"/>
      <c r="AF182" s="819"/>
      <c r="AG182" s="819"/>
      <c r="AH182" s="819"/>
      <c r="AI182" s="819"/>
      <c r="AJ182" s="819"/>
      <c r="AK182" s="819"/>
      <c r="AL182" s="819"/>
      <c r="AM182" s="819"/>
      <c r="AN182" s="819"/>
      <c r="AO182" s="819"/>
      <c r="AP182" s="819"/>
      <c r="AQ182" s="819"/>
      <c r="AR182" s="819"/>
      <c r="AS182" s="819"/>
      <c r="AT182" s="819"/>
      <c r="AU182" s="819"/>
      <c r="AV182" s="819"/>
      <c r="AW182" s="819"/>
      <c r="AX182" s="819"/>
      <c r="AY182" s="819"/>
      <c r="AZ182" s="819"/>
      <c r="BA182" s="819"/>
      <c r="BC182" s="819"/>
      <c r="BD182" s="819"/>
      <c r="BE182" s="819"/>
      <c r="BF182" s="819"/>
    </row>
    <row r="183" spans="1:58" ht="13.5" customHeight="1">
      <c r="A183" s="2021" t="s">
        <v>1492</v>
      </c>
      <c r="B183" s="2021"/>
      <c r="C183" s="2021"/>
      <c r="D183" s="2021"/>
      <c r="E183" s="2021"/>
      <c r="F183" s="2021"/>
      <c r="G183" s="2021"/>
      <c r="H183" s="2021"/>
      <c r="I183" s="2021"/>
      <c r="J183" s="2021"/>
      <c r="K183" s="2021"/>
      <c r="L183" s="2021"/>
      <c r="M183" s="2021"/>
      <c r="N183" s="2021"/>
      <c r="O183" s="2021"/>
      <c r="P183" s="2021"/>
      <c r="Q183" s="2021"/>
      <c r="R183" s="2021"/>
      <c r="S183" s="2021"/>
      <c r="T183" s="2021"/>
      <c r="U183" s="2021"/>
      <c r="V183" s="2021"/>
      <c r="W183" s="2021"/>
      <c r="X183" s="1338"/>
      <c r="Y183" s="1338"/>
      <c r="Z183" s="1338"/>
      <c r="AA183" s="1338"/>
      <c r="AB183" s="1338"/>
      <c r="AC183" s="819"/>
      <c r="AE183" s="819"/>
      <c r="AF183" s="819"/>
      <c r="AG183" s="819"/>
      <c r="AH183" s="819"/>
      <c r="AI183" s="819"/>
      <c r="AJ183" s="819"/>
      <c r="AK183" s="819"/>
      <c r="AL183" s="819"/>
      <c r="AM183" s="819"/>
      <c r="AN183" s="819"/>
      <c r="AO183" s="819"/>
      <c r="AP183" s="819"/>
      <c r="AQ183" s="819"/>
      <c r="AR183" s="819"/>
      <c r="AS183" s="819"/>
      <c r="AT183" s="819"/>
      <c r="AU183" s="819"/>
      <c r="AV183" s="819"/>
      <c r="AW183" s="819"/>
      <c r="AX183" s="819"/>
      <c r="AY183" s="819"/>
      <c r="AZ183" s="819"/>
      <c r="BA183" s="819"/>
      <c r="BC183" s="819"/>
      <c r="BD183" s="819"/>
      <c r="BE183" s="819"/>
      <c r="BF183" s="819"/>
    </row>
    <row r="184" spans="1:58" ht="13.5" customHeight="1">
      <c r="B184" s="819"/>
      <c r="C184" s="819"/>
      <c r="D184" s="1338"/>
      <c r="E184" s="1338"/>
      <c r="F184" s="1338"/>
      <c r="G184" s="1338"/>
      <c r="H184" s="1338"/>
      <c r="I184" s="1338"/>
      <c r="J184" s="1338"/>
      <c r="K184" s="1338"/>
      <c r="L184" s="1338"/>
      <c r="M184" s="1338"/>
      <c r="N184" s="1338"/>
      <c r="O184" s="1338"/>
      <c r="P184" s="1338"/>
      <c r="Q184" s="1338"/>
      <c r="R184" s="1338"/>
      <c r="S184" s="1338"/>
      <c r="T184" s="1338"/>
      <c r="U184" s="1338"/>
      <c r="V184" s="1338"/>
      <c r="W184" s="1338"/>
      <c r="X184" s="1338"/>
      <c r="Y184" s="1338"/>
      <c r="Z184" s="1338"/>
      <c r="AA184" s="1338"/>
      <c r="AB184" s="1338"/>
      <c r="AC184" s="819"/>
      <c r="AE184" s="819"/>
      <c r="AF184" s="819"/>
      <c r="AG184" s="819"/>
      <c r="AH184" s="819"/>
      <c r="AI184" s="819"/>
      <c r="AJ184" s="819"/>
      <c r="AK184" s="819"/>
      <c r="AL184" s="819"/>
      <c r="AM184" s="819"/>
      <c r="AN184" s="819"/>
      <c r="AO184" s="819"/>
      <c r="AP184" s="819"/>
      <c r="AQ184" s="819"/>
      <c r="AR184" s="819"/>
      <c r="AS184" s="819"/>
      <c r="AT184" s="819"/>
      <c r="AU184" s="819"/>
      <c r="AV184" s="819"/>
      <c r="AW184" s="819"/>
      <c r="AX184" s="819"/>
      <c r="AY184" s="819"/>
      <c r="AZ184" s="819"/>
      <c r="BA184" s="819"/>
      <c r="BC184" s="819"/>
      <c r="BD184" s="819"/>
      <c r="BE184" s="819"/>
      <c r="BF184" s="819"/>
    </row>
    <row r="185" spans="1:58" ht="13.5" customHeight="1">
      <c r="B185" s="819"/>
      <c r="C185" s="819"/>
      <c r="D185" s="819"/>
      <c r="E185" s="819"/>
      <c r="F185" s="819"/>
      <c r="G185" s="819"/>
      <c r="H185" s="819"/>
      <c r="I185" s="819"/>
      <c r="J185" s="819"/>
      <c r="K185" s="819"/>
      <c r="L185" s="572"/>
      <c r="M185" s="819"/>
      <c r="N185" s="819"/>
      <c r="O185" s="819"/>
      <c r="P185" s="819"/>
      <c r="Q185" s="819"/>
      <c r="R185" s="819"/>
      <c r="S185" s="819"/>
      <c r="T185" s="819"/>
      <c r="U185" s="819"/>
      <c r="V185" s="819"/>
      <c r="W185" s="819"/>
      <c r="X185" s="819"/>
      <c r="Y185" s="819"/>
      <c r="Z185" s="819"/>
      <c r="AA185" s="819"/>
      <c r="AB185" s="819"/>
      <c r="AC185" s="819"/>
      <c r="AE185" s="819"/>
      <c r="AF185" s="819"/>
      <c r="AG185" s="819"/>
      <c r="AH185" s="819"/>
      <c r="AI185" s="819"/>
      <c r="AJ185" s="819"/>
      <c r="AK185" s="819"/>
      <c r="AL185" s="819"/>
      <c r="AM185" s="819"/>
      <c r="AN185" s="819"/>
      <c r="AO185" s="819"/>
      <c r="AP185" s="819"/>
      <c r="AQ185" s="819"/>
      <c r="AR185" s="819"/>
      <c r="AS185" s="819"/>
      <c r="AT185" s="819"/>
      <c r="AU185" s="819"/>
      <c r="AV185" s="819"/>
      <c r="AW185" s="819"/>
      <c r="AX185" s="819"/>
      <c r="AY185" s="819"/>
      <c r="AZ185" s="819"/>
      <c r="BA185" s="819"/>
      <c r="BC185" s="819"/>
      <c r="BD185" s="819"/>
      <c r="BE185" s="819"/>
      <c r="BF185" s="819"/>
    </row>
    <row r="186" spans="1:58" ht="13.5" customHeight="1">
      <c r="B186" s="819"/>
      <c r="C186" s="819"/>
      <c r="D186" s="819"/>
      <c r="E186" s="819"/>
      <c r="F186" s="819"/>
      <c r="G186" s="819"/>
      <c r="H186" s="819"/>
      <c r="I186" s="819"/>
      <c r="J186" s="819"/>
      <c r="K186" s="819"/>
      <c r="L186" s="2011" t="s">
        <v>349</v>
      </c>
      <c r="M186" s="2011"/>
      <c r="N186" s="2095" t="s">
        <v>1493</v>
      </c>
      <c r="O186" s="2095"/>
      <c r="P186" s="2095"/>
      <c r="Q186" s="819"/>
      <c r="R186" s="819"/>
      <c r="S186" s="819"/>
      <c r="T186" s="819"/>
      <c r="U186" s="819"/>
      <c r="V186" s="819"/>
      <c r="W186" s="819"/>
      <c r="X186" s="819"/>
      <c r="Y186" s="819"/>
      <c r="Z186" s="819"/>
      <c r="AA186" s="819"/>
      <c r="AB186" s="819"/>
      <c r="AC186" s="819"/>
      <c r="AE186" s="819"/>
      <c r="AF186" s="819"/>
      <c r="AG186" s="819"/>
      <c r="AH186" s="819"/>
      <c r="AI186" s="819"/>
      <c r="AJ186" s="819"/>
      <c r="AK186" s="819"/>
      <c r="AL186" s="819"/>
      <c r="AM186" s="819"/>
      <c r="AN186" s="819"/>
      <c r="AO186" s="819"/>
      <c r="AP186" s="819"/>
      <c r="AQ186" s="819"/>
      <c r="AR186" s="819"/>
      <c r="AS186" s="819"/>
      <c r="AT186" s="819"/>
      <c r="AU186" s="819"/>
      <c r="AV186" s="819"/>
      <c r="AW186" s="819"/>
      <c r="AX186" s="819"/>
      <c r="AY186" s="819"/>
      <c r="AZ186" s="819"/>
      <c r="BA186" s="819"/>
      <c r="BC186" s="819"/>
      <c r="BD186" s="819"/>
      <c r="BE186" s="819"/>
      <c r="BF186" s="819"/>
    </row>
    <row r="187" spans="1:58" ht="13.5" customHeight="1">
      <c r="B187" s="819"/>
      <c r="C187" s="819"/>
      <c r="D187" s="819"/>
      <c r="E187" s="819"/>
      <c r="F187" s="819"/>
      <c r="G187" s="819"/>
      <c r="H187" s="819"/>
      <c r="I187" s="819"/>
      <c r="J187" s="819"/>
      <c r="K187" s="819"/>
      <c r="L187" s="2011"/>
      <c r="M187" s="2011"/>
      <c r="N187" s="2095"/>
      <c r="O187" s="2095"/>
      <c r="P187" s="2095"/>
      <c r="Q187" s="819"/>
      <c r="R187" s="819"/>
      <c r="S187" s="819"/>
      <c r="T187" s="819"/>
      <c r="U187" s="819"/>
      <c r="V187" s="819"/>
      <c r="W187" s="819"/>
      <c r="X187" s="819"/>
      <c r="Y187" s="819"/>
      <c r="Z187" s="819"/>
      <c r="AA187" s="819"/>
      <c r="AB187" s="819"/>
      <c r="AC187" s="819"/>
      <c r="AE187" s="819"/>
      <c r="AF187" s="819"/>
      <c r="AG187" s="819"/>
      <c r="AH187" s="819"/>
      <c r="AI187" s="819"/>
      <c r="AJ187" s="819"/>
      <c r="AK187" s="819"/>
      <c r="AL187" s="819"/>
      <c r="AM187" s="819"/>
      <c r="AN187" s="819"/>
      <c r="AO187" s="819"/>
      <c r="AP187" s="819"/>
      <c r="AQ187" s="819"/>
      <c r="AR187" s="819"/>
      <c r="AS187" s="819"/>
      <c r="AT187" s="819"/>
      <c r="AU187" s="819"/>
      <c r="AV187" s="819"/>
      <c r="AW187" s="819"/>
      <c r="AX187" s="819"/>
      <c r="AY187" s="819"/>
      <c r="AZ187" s="819"/>
      <c r="BA187" s="819"/>
      <c r="BC187" s="819"/>
      <c r="BD187" s="819"/>
      <c r="BE187" s="819"/>
      <c r="BF187" s="819"/>
    </row>
    <row r="188" spans="1:58" ht="13.5" customHeight="1">
      <c r="A188" s="1403"/>
      <c r="B188" s="1403"/>
      <c r="C188" s="1403"/>
      <c r="D188" s="1403"/>
      <c r="E188" s="1403"/>
      <c r="F188" s="1403"/>
      <c r="G188" s="1403"/>
      <c r="H188" s="1403"/>
      <c r="L188" s="567"/>
      <c r="M188" s="533"/>
      <c r="S188" s="819"/>
      <c r="Z188" s="819"/>
      <c r="AA188" s="819"/>
      <c r="AB188" s="819"/>
      <c r="AC188" s="819"/>
      <c r="AE188" s="819"/>
      <c r="AF188" s="819"/>
      <c r="AG188" s="819"/>
      <c r="AH188" s="819"/>
      <c r="AI188" s="819"/>
      <c r="AJ188" s="819"/>
      <c r="AK188" s="819"/>
      <c r="AL188" s="819"/>
      <c r="AM188" s="819"/>
      <c r="AN188" s="819"/>
      <c r="AO188" s="819"/>
      <c r="AP188" s="819"/>
      <c r="AQ188" s="819"/>
      <c r="AR188" s="819"/>
      <c r="AS188" s="819"/>
      <c r="AT188" s="819"/>
      <c r="AU188" s="819"/>
      <c r="AV188" s="819"/>
      <c r="AW188" s="819"/>
      <c r="AX188" s="819"/>
      <c r="AY188" s="819"/>
      <c r="AZ188" s="819"/>
      <c r="BA188" s="819"/>
      <c r="BC188" s="819"/>
      <c r="BD188" s="819"/>
      <c r="BE188" s="819"/>
      <c r="BF188" s="819"/>
    </row>
    <row r="189" spans="1:58" ht="21" customHeight="1">
      <c r="A189" s="1403"/>
      <c r="B189" s="1403"/>
      <c r="C189" s="1403"/>
      <c r="D189" s="1403"/>
      <c r="E189" s="1403"/>
      <c r="F189" s="1403"/>
      <c r="G189" s="1403"/>
      <c r="H189" s="1403"/>
      <c r="L189" s="819"/>
      <c r="M189" s="590"/>
      <c r="S189" s="819"/>
      <c r="Z189" s="819"/>
      <c r="AA189" s="819"/>
      <c r="AB189" s="819"/>
      <c r="AC189" s="819"/>
      <c r="AD189" s="609"/>
      <c r="AE189" s="819"/>
      <c r="AF189" s="819"/>
      <c r="AG189" s="819"/>
      <c r="AH189" s="819"/>
      <c r="AI189" s="819"/>
      <c r="AJ189" s="819"/>
      <c r="AK189" s="819"/>
      <c r="AL189" s="819"/>
      <c r="AM189" s="819"/>
      <c r="AN189" s="819"/>
      <c r="AO189" s="819"/>
      <c r="AP189" s="819"/>
      <c r="AQ189" s="819"/>
      <c r="AR189" s="819"/>
      <c r="AS189" s="819"/>
      <c r="AT189" s="819"/>
      <c r="AU189" s="819"/>
      <c r="AV189" s="819"/>
      <c r="AW189" s="819"/>
      <c r="AX189" s="819"/>
      <c r="AY189" s="819"/>
      <c r="AZ189" s="819"/>
      <c r="BA189" s="819"/>
      <c r="BB189" s="819"/>
      <c r="BC189" s="819"/>
      <c r="BD189" s="819"/>
      <c r="BE189" s="819"/>
    </row>
    <row r="190" spans="1:58" ht="13.5" customHeight="1">
      <c r="A190" s="1403"/>
      <c r="B190" s="1403"/>
      <c r="C190" s="1403"/>
      <c r="D190" s="1403"/>
      <c r="E190" s="1403"/>
      <c r="F190" s="1403"/>
      <c r="G190" s="1403"/>
      <c r="H190" s="1403"/>
      <c r="Q190" s="819"/>
      <c r="S190" s="819"/>
      <c r="Z190" s="819"/>
      <c r="AA190" s="819"/>
      <c r="AB190" s="819"/>
      <c r="AC190" s="819"/>
      <c r="AD190" s="609"/>
      <c r="AE190" s="819"/>
      <c r="AF190" s="819"/>
      <c r="AG190" s="819"/>
      <c r="AH190" s="819"/>
      <c r="AI190" s="819"/>
      <c r="AJ190" s="819"/>
      <c r="AK190" s="819"/>
      <c r="AL190" s="819"/>
      <c r="AM190" s="819"/>
      <c r="AN190" s="819"/>
      <c r="AO190" s="819"/>
      <c r="AP190" s="819"/>
      <c r="AQ190" s="819"/>
      <c r="AR190" s="819"/>
      <c r="AS190" s="819"/>
      <c r="AT190" s="819"/>
      <c r="AU190" s="819"/>
      <c r="AV190" s="819"/>
      <c r="AW190" s="819"/>
      <c r="AX190" s="819"/>
      <c r="AY190" s="819"/>
      <c r="AZ190" s="819"/>
      <c r="BA190" s="819"/>
      <c r="BB190" s="819"/>
      <c r="BC190" s="819"/>
      <c r="BD190" s="819"/>
      <c r="BE190" s="819"/>
    </row>
    <row r="191" spans="1:58" ht="13.5" customHeight="1">
      <c r="A191" s="1403"/>
      <c r="B191" s="1403"/>
      <c r="C191" s="1403"/>
      <c r="D191" s="1403"/>
      <c r="E191" s="1403"/>
      <c r="F191" s="1403"/>
      <c r="G191" s="1403"/>
      <c r="H191" s="1403"/>
      <c r="L191" s="554"/>
      <c r="S191" s="819"/>
      <c r="Z191" s="819"/>
      <c r="AA191" s="819"/>
      <c r="AB191" s="819"/>
      <c r="AC191" s="819"/>
      <c r="AD191" s="609"/>
      <c r="AE191" s="819"/>
      <c r="AF191" s="819"/>
      <c r="AG191" s="819"/>
      <c r="AH191" s="819"/>
      <c r="AI191" s="819"/>
      <c r="AJ191" s="819"/>
      <c r="AK191" s="819"/>
      <c r="AL191" s="819"/>
      <c r="AM191" s="819"/>
      <c r="AN191" s="819"/>
      <c r="AO191" s="819"/>
      <c r="AP191" s="819"/>
      <c r="AQ191" s="819"/>
      <c r="AR191" s="819"/>
      <c r="AS191" s="819"/>
      <c r="AT191" s="819"/>
      <c r="AU191" s="819"/>
      <c r="AV191" s="819"/>
      <c r="AW191" s="819"/>
      <c r="AX191" s="819"/>
      <c r="AY191" s="819"/>
      <c r="AZ191" s="819"/>
      <c r="BA191" s="819"/>
      <c r="BB191" s="819"/>
      <c r="BC191" s="819"/>
      <c r="BD191" s="819"/>
      <c r="BE191" s="819"/>
    </row>
    <row r="192" spans="1:58" ht="13.5" customHeight="1" thickBot="1">
      <c r="A192" s="1403"/>
      <c r="B192" s="1403"/>
      <c r="C192" s="1403"/>
      <c r="D192" s="1403"/>
      <c r="E192" s="1403"/>
      <c r="F192" s="1403"/>
      <c r="G192" s="1403"/>
      <c r="H192" s="1403"/>
      <c r="I192" s="789" t="s">
        <v>1494</v>
      </c>
      <c r="J192" s="789"/>
      <c r="K192" s="789"/>
      <c r="L192" s="554"/>
      <c r="S192" s="819"/>
      <c r="Z192" s="819"/>
      <c r="AA192" s="819"/>
      <c r="AB192" s="819"/>
      <c r="AC192" s="819"/>
      <c r="AD192" s="609"/>
      <c r="AE192" s="819"/>
      <c r="AF192" s="819"/>
      <c r="AG192" s="819"/>
      <c r="AH192" s="819"/>
      <c r="AI192" s="819"/>
      <c r="AJ192" s="819"/>
      <c r="AK192" s="819"/>
      <c r="AL192" s="819"/>
      <c r="AM192" s="819"/>
      <c r="AN192" s="819"/>
      <c r="AO192" s="819"/>
      <c r="AP192" s="819"/>
      <c r="AQ192" s="819"/>
      <c r="AR192" s="819"/>
      <c r="AS192" s="819"/>
      <c r="AT192" s="819"/>
      <c r="AU192" s="819"/>
      <c r="AV192" s="819"/>
      <c r="AW192" s="819"/>
      <c r="AX192" s="819"/>
      <c r="AY192" s="819"/>
      <c r="AZ192" s="819"/>
      <c r="BA192" s="819"/>
      <c r="BB192" s="819"/>
      <c r="BC192" s="819"/>
      <c r="BD192" s="819"/>
      <c r="BE192" s="819"/>
    </row>
    <row r="193" spans="1:59" ht="13.5" customHeight="1" thickTop="1" thickBot="1">
      <c r="A193" s="1403"/>
      <c r="B193" s="1403"/>
      <c r="C193" s="1403"/>
      <c r="D193" s="1403"/>
      <c r="E193" s="1403"/>
      <c r="F193" s="1403"/>
      <c r="G193" s="819"/>
      <c r="H193" s="819"/>
      <c r="I193" s="1408"/>
      <c r="J193" s="2015" t="s">
        <v>69</v>
      </c>
      <c r="K193" s="549"/>
      <c r="L193" s="571"/>
      <c r="M193" s="551"/>
      <c r="N193" s="1408"/>
      <c r="O193" s="2013" t="s">
        <v>1473</v>
      </c>
      <c r="P193" s="1408"/>
      <c r="S193" s="819"/>
      <c r="Z193" s="819"/>
      <c r="AA193" s="819"/>
      <c r="AB193" s="819"/>
      <c r="AC193" s="819"/>
      <c r="AD193" s="609"/>
      <c r="AE193" s="819"/>
      <c r="AF193" s="819"/>
      <c r="AG193" s="819"/>
      <c r="AH193" s="819"/>
      <c r="AI193" s="819"/>
      <c r="AJ193" s="819"/>
      <c r="AK193" s="819"/>
      <c r="AL193" s="819"/>
      <c r="AM193" s="819"/>
      <c r="AN193" s="819"/>
      <c r="AO193" s="819"/>
      <c r="AP193" s="819"/>
      <c r="AQ193" s="819"/>
      <c r="AR193" s="819"/>
      <c r="AS193" s="819"/>
      <c r="AT193" s="819"/>
      <c r="AU193" s="819"/>
      <c r="AV193" s="819"/>
      <c r="AW193" s="819"/>
      <c r="AX193" s="819"/>
      <c r="AY193" s="819"/>
      <c r="AZ193" s="819"/>
      <c r="BA193" s="819"/>
      <c r="BB193" s="819"/>
      <c r="BC193" s="819"/>
      <c r="BD193" s="819"/>
      <c r="BE193" s="819"/>
      <c r="BG193" s="819"/>
    </row>
    <row r="194" spans="1:59" ht="12.75" customHeight="1" thickTop="1" thickBot="1">
      <c r="A194" s="1403"/>
      <c r="B194" s="1403"/>
      <c r="C194" s="1403"/>
      <c r="D194" s="1403"/>
      <c r="E194" s="1403"/>
      <c r="F194" s="1403"/>
      <c r="G194" s="819"/>
      <c r="H194" s="819"/>
      <c r="I194" s="548"/>
      <c r="J194" s="2016"/>
      <c r="O194" s="2014"/>
      <c r="P194" s="553"/>
      <c r="S194" s="819"/>
      <c r="Z194" s="819"/>
      <c r="AA194" s="819"/>
      <c r="AB194" s="819"/>
      <c r="AC194" s="819"/>
      <c r="AE194" s="819"/>
      <c r="AF194" s="819"/>
      <c r="AG194" s="819"/>
      <c r="AH194" s="819"/>
      <c r="AI194" s="819"/>
      <c r="AJ194" s="819"/>
      <c r="AK194" s="819"/>
      <c r="AL194" s="819"/>
      <c r="AM194" s="819"/>
      <c r="AN194" s="819"/>
      <c r="AO194" s="819"/>
      <c r="AP194" s="819"/>
      <c r="AQ194" s="819"/>
      <c r="AR194" s="819"/>
      <c r="AS194" s="819"/>
      <c r="AT194" s="819"/>
      <c r="AU194" s="819"/>
      <c r="AV194" s="819"/>
      <c r="AW194" s="819"/>
      <c r="AX194" s="819"/>
      <c r="AY194" s="819"/>
      <c r="AZ194" s="819"/>
      <c r="BA194" s="819"/>
      <c r="BB194" s="819"/>
      <c r="BC194" s="819"/>
      <c r="BD194" s="819"/>
      <c r="BE194" s="819"/>
      <c r="BG194" s="819"/>
    </row>
    <row r="195" spans="1:59" ht="12.75" customHeight="1" thickTop="1" thickBot="1">
      <c r="A195" s="1403"/>
      <c r="B195" s="1403"/>
      <c r="C195" s="1403"/>
      <c r="D195" s="1403"/>
      <c r="E195" s="1403"/>
      <c r="F195" s="1403"/>
      <c r="G195" s="2020" t="s">
        <v>334</v>
      </c>
      <c r="H195" s="2024"/>
      <c r="I195" s="1403"/>
      <c r="J195" s="1403"/>
      <c r="P195" s="554"/>
      <c r="Q195" s="2019" t="s">
        <v>341</v>
      </c>
      <c r="R195" s="2020"/>
      <c r="S195" s="819"/>
      <c r="Z195" s="819"/>
      <c r="AA195" s="819"/>
      <c r="AB195" s="819"/>
      <c r="AC195" s="819"/>
      <c r="AE195" s="819"/>
      <c r="AF195" s="819"/>
      <c r="AG195" s="819"/>
      <c r="AH195" s="819"/>
      <c r="AI195" s="819"/>
      <c r="AJ195" s="819"/>
      <c r="AK195" s="819"/>
      <c r="AL195" s="819"/>
      <c r="AM195" s="819"/>
      <c r="AN195" s="819"/>
      <c r="AO195" s="819"/>
      <c r="AP195" s="819"/>
      <c r="AQ195" s="819"/>
      <c r="AR195" s="819"/>
      <c r="AS195" s="819"/>
      <c r="AT195" s="819"/>
      <c r="AU195" s="819"/>
      <c r="AV195" s="819"/>
      <c r="AW195" s="819"/>
      <c r="AX195" s="819"/>
      <c r="AY195" s="819"/>
      <c r="AZ195" s="819"/>
      <c r="BA195" s="819"/>
      <c r="BB195" s="819"/>
      <c r="BC195" s="819"/>
      <c r="BD195" s="819"/>
      <c r="BE195" s="819"/>
      <c r="BG195" s="819"/>
    </row>
    <row r="196" spans="1:59" ht="14.1" customHeight="1" thickTop="1" thickBot="1">
      <c r="G196" s="1339"/>
      <c r="H196" s="1340"/>
      <c r="I196" s="819"/>
      <c r="J196" s="819"/>
      <c r="K196" s="819"/>
      <c r="L196" s="819"/>
      <c r="M196" s="819"/>
      <c r="N196" s="819"/>
      <c r="O196" s="819"/>
      <c r="P196" s="1336"/>
      <c r="Q196" s="819"/>
      <c r="R196" s="819"/>
      <c r="S196" s="819"/>
      <c r="T196" s="819"/>
      <c r="U196" s="819"/>
      <c r="V196" s="819"/>
      <c r="W196" s="819"/>
      <c r="X196" s="819"/>
      <c r="Y196" s="819"/>
      <c r="Z196" s="819"/>
      <c r="AA196" s="819"/>
      <c r="AB196" s="819"/>
      <c r="AC196" s="819"/>
      <c r="AE196" s="819"/>
      <c r="AF196" s="819"/>
      <c r="AG196" s="819"/>
      <c r="AH196" s="819"/>
      <c r="AI196" s="819"/>
      <c r="AJ196" s="819"/>
      <c r="AK196" s="819"/>
      <c r="AL196" s="819"/>
      <c r="AM196" s="819"/>
      <c r="AN196" s="819"/>
      <c r="AO196" s="819"/>
      <c r="AP196" s="819"/>
      <c r="AQ196" s="819"/>
      <c r="AR196" s="819"/>
      <c r="AS196" s="819"/>
      <c r="AT196" s="819"/>
      <c r="AU196" s="819"/>
      <c r="AV196" s="819"/>
      <c r="AW196" s="819"/>
      <c r="AX196" s="819"/>
      <c r="AY196" s="819"/>
      <c r="AZ196" s="819"/>
      <c r="BA196" s="819"/>
      <c r="BB196" s="819"/>
      <c r="BC196" s="819"/>
      <c r="BD196" s="819"/>
      <c r="BE196" s="819"/>
      <c r="BG196" s="819"/>
    </row>
    <row r="197" spans="1:59" ht="14.1" customHeight="1" thickTop="1" thickBot="1">
      <c r="F197" s="589"/>
      <c r="G197" s="819"/>
      <c r="H197" s="1336"/>
      <c r="I197" s="1341"/>
      <c r="J197" s="2013" t="s">
        <v>1478</v>
      </c>
      <c r="K197" s="1332"/>
      <c r="L197" s="1332"/>
      <c r="M197" s="1332"/>
      <c r="N197" s="1332"/>
      <c r="O197" s="2009" t="s">
        <v>1475</v>
      </c>
      <c r="P197" s="1333"/>
      <c r="Q197" s="819"/>
      <c r="R197" s="819"/>
      <c r="S197" s="819"/>
      <c r="T197" s="819"/>
      <c r="U197" s="819"/>
      <c r="V197" s="819"/>
      <c r="W197" s="819"/>
      <c r="X197" s="819"/>
      <c r="Y197" s="819"/>
      <c r="Z197" s="819"/>
      <c r="AA197" s="819"/>
      <c r="AB197" s="819"/>
      <c r="AC197" s="819"/>
      <c r="AE197" s="819"/>
      <c r="AF197" s="819"/>
      <c r="AG197" s="819"/>
      <c r="AH197" s="819"/>
      <c r="AI197" s="819"/>
      <c r="AJ197" s="819"/>
      <c r="AK197" s="819"/>
      <c r="AL197" s="819"/>
      <c r="AM197" s="819"/>
      <c r="AN197" s="819"/>
      <c r="AO197" s="819"/>
      <c r="AP197" s="819"/>
      <c r="AQ197" s="819"/>
      <c r="AR197" s="819"/>
      <c r="AS197" s="819"/>
      <c r="AT197" s="819"/>
      <c r="AU197" s="819"/>
      <c r="AV197" s="819"/>
      <c r="AW197" s="819"/>
      <c r="AX197" s="819"/>
      <c r="AY197" s="819"/>
      <c r="AZ197" s="819"/>
      <c r="BA197" s="819"/>
      <c r="BB197" s="819"/>
      <c r="BC197" s="819"/>
      <c r="BD197" s="819"/>
      <c r="BE197" s="819"/>
      <c r="BF197" s="819"/>
    </row>
    <row r="198" spans="1:59" ht="12.75" customHeight="1" thickTop="1" thickBot="1">
      <c r="G198" s="819"/>
      <c r="H198" s="819"/>
      <c r="I198" s="819"/>
      <c r="J198" s="2014"/>
      <c r="K198" s="819"/>
      <c r="L198" s="554"/>
      <c r="N198" s="819"/>
      <c r="O198" s="2010"/>
      <c r="P198" s="819"/>
      <c r="Q198" s="819"/>
      <c r="R198" s="819"/>
      <c r="S198" s="819"/>
      <c r="T198" s="819"/>
      <c r="U198" s="819"/>
      <c r="V198" s="819"/>
      <c r="W198" s="819"/>
      <c r="X198" s="819"/>
      <c r="Y198" s="819"/>
      <c r="Z198" s="819"/>
      <c r="AA198" s="819"/>
      <c r="AB198" s="819"/>
      <c r="AC198" s="819"/>
      <c r="AE198" s="819"/>
      <c r="AF198" s="819"/>
      <c r="AG198" s="819"/>
      <c r="AH198" s="819"/>
      <c r="AI198" s="819"/>
      <c r="AJ198" s="819"/>
      <c r="AK198" s="819"/>
      <c r="AL198" s="819"/>
      <c r="AM198" s="819"/>
      <c r="AN198" s="819"/>
      <c r="AO198" s="819"/>
      <c r="AP198" s="819"/>
      <c r="AQ198" s="819"/>
      <c r="AR198" s="819"/>
      <c r="AS198" s="819"/>
      <c r="AT198" s="819"/>
      <c r="AU198" s="819"/>
      <c r="AV198" s="819"/>
      <c r="AW198" s="819"/>
      <c r="AX198" s="819"/>
      <c r="AY198" s="819"/>
      <c r="AZ198" s="819"/>
      <c r="BA198" s="819"/>
      <c r="BB198" s="819"/>
      <c r="BC198" s="819"/>
      <c r="BD198" s="819"/>
      <c r="BE198" s="819"/>
      <c r="BF198" s="819"/>
    </row>
    <row r="199" spans="1:59" ht="12.75" customHeight="1">
      <c r="G199" s="819"/>
      <c r="H199" s="819"/>
      <c r="I199" s="819"/>
      <c r="J199" s="819"/>
      <c r="K199" s="819"/>
      <c r="L199" s="554"/>
      <c r="N199" s="819"/>
      <c r="O199" s="819"/>
      <c r="P199" s="819"/>
      <c r="Q199" s="819"/>
      <c r="R199" s="819"/>
      <c r="S199" s="819"/>
      <c r="T199" s="819"/>
      <c r="U199" s="819"/>
      <c r="V199" s="819"/>
      <c r="W199" s="819"/>
      <c r="X199" s="819"/>
      <c r="Y199" s="819"/>
      <c r="Z199" s="819"/>
      <c r="AA199" s="819"/>
      <c r="AB199" s="819"/>
      <c r="AC199" s="819"/>
      <c r="AE199" s="819"/>
      <c r="AF199" s="819"/>
      <c r="AG199" s="819"/>
      <c r="AH199" s="819"/>
      <c r="AI199" s="819"/>
      <c r="AJ199" s="819"/>
      <c r="AK199" s="819"/>
      <c r="AL199" s="819"/>
      <c r="AM199" s="819"/>
      <c r="AN199" s="819"/>
      <c r="AO199" s="819"/>
      <c r="AP199" s="819"/>
      <c r="AQ199" s="819"/>
      <c r="AR199" s="819"/>
      <c r="AS199" s="819"/>
      <c r="AT199" s="819"/>
      <c r="AU199" s="819"/>
      <c r="AV199" s="819"/>
      <c r="AW199" s="819"/>
      <c r="AX199" s="819"/>
      <c r="AY199" s="819"/>
      <c r="AZ199" s="819"/>
      <c r="BA199" s="819"/>
      <c r="BB199" s="819"/>
      <c r="BC199" s="819"/>
      <c r="BD199" s="819"/>
      <c r="BE199" s="819"/>
      <c r="BF199" s="819"/>
    </row>
    <row r="200" spans="1:59" ht="14.1" customHeight="1">
      <c r="G200" s="819"/>
      <c r="H200" s="819"/>
      <c r="I200" s="819"/>
      <c r="J200" s="819"/>
      <c r="K200" s="819"/>
      <c r="L200" s="567"/>
      <c r="M200" s="533"/>
      <c r="N200" s="819"/>
      <c r="O200" s="819"/>
      <c r="P200" s="819"/>
      <c r="Q200" s="819"/>
      <c r="R200" s="819"/>
      <c r="S200" s="819"/>
      <c r="T200" s="819"/>
      <c r="U200" s="819"/>
      <c r="V200" s="819"/>
      <c r="W200" s="819"/>
      <c r="X200" s="819"/>
      <c r="Y200" s="819"/>
      <c r="Z200" s="819"/>
      <c r="AA200" s="819"/>
      <c r="AB200" s="819"/>
      <c r="AC200" s="819"/>
      <c r="AE200" s="819"/>
      <c r="AF200" s="819"/>
      <c r="AG200" s="819"/>
      <c r="AH200" s="819"/>
      <c r="AI200" s="819"/>
      <c r="AJ200" s="819"/>
      <c r="AK200" s="819"/>
      <c r="AL200" s="819"/>
      <c r="AM200" s="819"/>
      <c r="AN200" s="819"/>
      <c r="AO200" s="819"/>
      <c r="AP200" s="819"/>
      <c r="AQ200" s="819"/>
      <c r="AR200" s="819"/>
      <c r="AS200" s="819"/>
      <c r="AT200" s="819"/>
      <c r="AU200" s="819"/>
      <c r="AV200" s="819"/>
      <c r="AW200" s="819"/>
      <c r="AX200" s="819"/>
      <c r="AY200" s="819"/>
      <c r="AZ200" s="819"/>
      <c r="BA200" s="819"/>
      <c r="BB200" s="819"/>
      <c r="BC200" s="819"/>
      <c r="BD200" s="819"/>
      <c r="BE200" s="819"/>
      <c r="BF200" s="819"/>
    </row>
    <row r="201" spans="1:59" ht="14.1" customHeight="1">
      <c r="F201" s="2011"/>
      <c r="G201" s="2011"/>
      <c r="H201" s="819"/>
      <c r="I201" s="819"/>
      <c r="J201" s="819"/>
      <c r="K201" s="819"/>
      <c r="L201" s="2012" t="s">
        <v>1480</v>
      </c>
      <c r="M201" s="2012"/>
      <c r="N201" s="819"/>
      <c r="O201" s="819"/>
      <c r="P201" s="819"/>
      <c r="Q201" s="819"/>
      <c r="R201" s="819"/>
      <c r="S201" s="819"/>
      <c r="T201" s="819"/>
      <c r="U201" s="819"/>
      <c r="V201" s="819"/>
      <c r="W201" s="819"/>
      <c r="X201" s="819"/>
      <c r="Y201" s="819"/>
      <c r="Z201" s="819"/>
      <c r="AA201" s="819"/>
      <c r="AB201" s="819"/>
      <c r="AC201" s="819"/>
      <c r="AE201" s="819"/>
      <c r="AF201" s="819"/>
      <c r="AG201" s="819"/>
      <c r="AH201" s="819"/>
      <c r="AI201" s="819"/>
      <c r="AJ201" s="819"/>
      <c r="AK201" s="819"/>
      <c r="AL201" s="819"/>
      <c r="AM201" s="819"/>
      <c r="AN201" s="819"/>
      <c r="AO201" s="819"/>
      <c r="AP201" s="819"/>
      <c r="AQ201" s="819"/>
      <c r="AR201" s="819"/>
      <c r="AS201" s="819"/>
      <c r="AT201" s="819"/>
      <c r="AU201" s="819"/>
      <c r="AV201" s="819"/>
      <c r="AW201" s="819"/>
      <c r="AX201" s="819"/>
      <c r="AY201" s="819"/>
      <c r="AZ201" s="819"/>
      <c r="BA201" s="819"/>
      <c r="BB201" s="819"/>
      <c r="BC201" s="819"/>
      <c r="BD201" s="819"/>
      <c r="BE201" s="819"/>
      <c r="BF201" s="819"/>
    </row>
    <row r="202" spans="1:59" ht="14.1" customHeight="1">
      <c r="B202" s="819"/>
      <c r="C202" s="819"/>
      <c r="D202" s="819"/>
      <c r="E202" s="819"/>
      <c r="F202" s="2011"/>
      <c r="G202" s="2011"/>
      <c r="H202" s="590"/>
      <c r="I202" s="590"/>
      <c r="J202" s="819"/>
      <c r="K202" s="819"/>
      <c r="L202" s="819"/>
      <c r="M202" s="819"/>
      <c r="N202" s="819"/>
      <c r="O202" s="819"/>
      <c r="P202" s="819"/>
      <c r="Q202" s="819"/>
      <c r="R202" s="819"/>
      <c r="S202" s="819"/>
      <c r="T202" s="819"/>
      <c r="U202" s="819"/>
      <c r="V202" s="819"/>
      <c r="W202" s="819"/>
      <c r="X202" s="819"/>
      <c r="Y202" s="819"/>
      <c r="Z202" s="819"/>
      <c r="AA202" s="819"/>
      <c r="AB202" s="819"/>
      <c r="AC202" s="819"/>
      <c r="AE202" s="819"/>
      <c r="AF202" s="819"/>
      <c r="AG202" s="819"/>
      <c r="AH202" s="819"/>
      <c r="AI202" s="819"/>
      <c r="AJ202" s="819"/>
      <c r="AK202" s="819"/>
      <c r="AL202" s="819"/>
      <c r="AM202" s="819"/>
      <c r="AN202" s="819"/>
      <c r="AO202" s="819"/>
      <c r="AP202" s="819"/>
      <c r="AQ202" s="819"/>
      <c r="AR202" s="819"/>
      <c r="AS202" s="819"/>
      <c r="AT202" s="819"/>
      <c r="AU202" s="819"/>
      <c r="AV202" s="819"/>
      <c r="AW202" s="819"/>
      <c r="AX202" s="819"/>
      <c r="AY202" s="819"/>
      <c r="AZ202" s="819"/>
      <c r="BA202" s="819"/>
      <c r="BB202" s="819"/>
      <c r="BC202" s="819"/>
      <c r="BD202" s="819"/>
      <c r="BE202" s="819"/>
      <c r="BF202" s="819"/>
    </row>
    <row r="203" spans="1:59" ht="14.1" customHeight="1">
      <c r="A203" s="1403"/>
      <c r="B203" s="1403"/>
      <c r="C203" s="2008" t="s">
        <v>1495</v>
      </c>
      <c r="D203" s="2008"/>
      <c r="E203" s="2008"/>
      <c r="F203" s="2008"/>
      <c r="G203" s="2008"/>
      <c r="H203" s="2008"/>
      <c r="I203" s="2008"/>
      <c r="J203" s="2008"/>
      <c r="U203" s="819"/>
      <c r="V203" s="819"/>
      <c r="W203" s="819"/>
      <c r="X203" s="819"/>
      <c r="Y203" s="819"/>
      <c r="Z203" s="819"/>
      <c r="AA203" s="819"/>
      <c r="AB203" s="819"/>
      <c r="AC203" s="819"/>
      <c r="AE203" s="819"/>
      <c r="AF203" s="819"/>
      <c r="AG203" s="819"/>
      <c r="AH203" s="819"/>
      <c r="AI203" s="819"/>
      <c r="AJ203" s="819"/>
      <c r="AK203" s="819"/>
      <c r="AL203" s="819"/>
      <c r="AM203" s="819"/>
      <c r="AN203" s="819"/>
      <c r="AO203" s="819"/>
      <c r="AP203" s="819"/>
      <c r="AQ203" s="819"/>
      <c r="AR203" s="819"/>
      <c r="AS203" s="819"/>
      <c r="AT203" s="819"/>
      <c r="AU203" s="819"/>
      <c r="AV203" s="819"/>
      <c r="AW203" s="819"/>
      <c r="AX203" s="819"/>
      <c r="AY203" s="819"/>
      <c r="AZ203" s="819"/>
      <c r="BA203" s="819"/>
      <c r="BC203" s="819"/>
      <c r="BD203" s="819"/>
      <c r="BE203" s="819"/>
      <c r="BF203" s="819"/>
      <c r="BG203" s="819"/>
    </row>
    <row r="204" spans="1:59" ht="14.1" customHeight="1">
      <c r="A204" s="819"/>
      <c r="B204" s="819"/>
      <c r="C204" s="819"/>
      <c r="D204" s="2093" t="s">
        <v>1496</v>
      </c>
      <c r="E204" s="2093"/>
      <c r="F204" s="2093"/>
      <c r="G204" s="2093"/>
      <c r="H204" s="2093"/>
      <c r="I204" s="2093"/>
      <c r="J204" s="2093"/>
      <c r="K204" s="2093"/>
      <c r="L204" s="2093"/>
      <c r="M204" s="2093"/>
      <c r="N204" s="2093"/>
      <c r="O204" s="2093"/>
      <c r="P204" s="2093"/>
      <c r="Q204" s="2093"/>
      <c r="R204" s="2093"/>
      <c r="S204" s="2093"/>
      <c r="T204" s="2093"/>
      <c r="U204" s="2093"/>
      <c r="V204" s="2093"/>
      <c r="W204" s="2093"/>
      <c r="X204" s="2093"/>
      <c r="Y204" s="2093"/>
      <c r="Z204" s="2093"/>
      <c r="AA204" s="2093"/>
      <c r="AB204" s="2093"/>
      <c r="AC204" s="819"/>
      <c r="AE204" s="819"/>
      <c r="AF204" s="819"/>
      <c r="AG204" s="819"/>
      <c r="AH204" s="819"/>
      <c r="AI204" s="819"/>
      <c r="AJ204" s="819"/>
      <c r="AK204" s="819"/>
      <c r="AL204" s="819"/>
      <c r="AM204" s="819"/>
      <c r="AN204" s="819"/>
      <c r="AO204" s="819"/>
      <c r="AP204" s="819"/>
      <c r="AQ204" s="819"/>
      <c r="AR204" s="819"/>
      <c r="AS204" s="819"/>
      <c r="AT204" s="819"/>
      <c r="AU204" s="819"/>
      <c r="AV204" s="819"/>
      <c r="AW204" s="819"/>
      <c r="AX204" s="819"/>
      <c r="AY204" s="819"/>
      <c r="AZ204" s="819"/>
      <c r="BB204" s="819"/>
      <c r="BC204" s="819"/>
      <c r="BD204" s="819"/>
      <c r="BE204" s="819"/>
      <c r="BF204" s="819"/>
      <c r="BG204" s="819"/>
    </row>
    <row r="205" spans="1:59" ht="14.1" customHeight="1">
      <c r="A205" s="819"/>
      <c r="B205" s="819"/>
      <c r="C205" s="819"/>
      <c r="D205" s="2093"/>
      <c r="E205" s="2093"/>
      <c r="F205" s="2093"/>
      <c r="G205" s="2093"/>
      <c r="H205" s="2093"/>
      <c r="I205" s="2093"/>
      <c r="J205" s="2093"/>
      <c r="K205" s="2093"/>
      <c r="L205" s="2093"/>
      <c r="M205" s="2093"/>
      <c r="N205" s="2093"/>
      <c r="O205" s="2093"/>
      <c r="P205" s="2093"/>
      <c r="Q205" s="2093"/>
      <c r="R205" s="2093"/>
      <c r="S205" s="2093"/>
      <c r="T205" s="2093"/>
      <c r="U205" s="2093"/>
      <c r="V205" s="2093"/>
      <c r="W205" s="2093"/>
      <c r="X205" s="2093"/>
      <c r="Y205" s="2093"/>
      <c r="Z205" s="2093"/>
      <c r="AA205" s="2093"/>
      <c r="AB205" s="2093"/>
      <c r="AC205" s="819"/>
      <c r="AE205" s="819"/>
      <c r="AF205" s="819"/>
      <c r="AG205" s="819"/>
      <c r="AH205" s="819"/>
      <c r="AI205" s="819"/>
      <c r="AJ205" s="819"/>
      <c r="AK205" s="819"/>
      <c r="AL205" s="819"/>
      <c r="AM205" s="819"/>
      <c r="AN205" s="819"/>
      <c r="AO205" s="819"/>
      <c r="AP205" s="819"/>
      <c r="AQ205" s="819"/>
      <c r="AR205" s="819"/>
      <c r="AS205" s="819"/>
      <c r="AT205" s="819"/>
      <c r="AU205" s="819"/>
      <c r="AV205" s="819"/>
      <c r="AW205" s="819"/>
      <c r="AX205" s="819"/>
      <c r="AY205" s="819"/>
      <c r="AZ205" s="819"/>
      <c r="BA205" s="819"/>
      <c r="BC205" s="819"/>
      <c r="BD205" s="819"/>
      <c r="BE205" s="819"/>
      <c r="BF205" s="819"/>
      <c r="BG205" s="819"/>
    </row>
    <row r="206" spans="1:59" ht="14.1" customHeight="1">
      <c r="A206" s="819"/>
      <c r="B206" s="819"/>
      <c r="C206" s="819"/>
      <c r="D206" s="2093"/>
      <c r="E206" s="2093"/>
      <c r="F206" s="2093"/>
      <c r="G206" s="2093"/>
      <c r="H206" s="2093"/>
      <c r="I206" s="2093"/>
      <c r="J206" s="2093"/>
      <c r="K206" s="2093"/>
      <c r="L206" s="2093"/>
      <c r="M206" s="2093"/>
      <c r="N206" s="2093"/>
      <c r="O206" s="2093"/>
      <c r="P206" s="2093"/>
      <c r="Q206" s="2093"/>
      <c r="R206" s="2093"/>
      <c r="S206" s="2093"/>
      <c r="T206" s="2093"/>
      <c r="U206" s="2093"/>
      <c r="V206" s="2093"/>
      <c r="W206" s="2093"/>
      <c r="X206" s="2093"/>
      <c r="Y206" s="2093"/>
      <c r="Z206" s="2093"/>
      <c r="AA206" s="2093"/>
      <c r="AB206" s="2093"/>
      <c r="AC206" s="819"/>
      <c r="AE206" s="819"/>
      <c r="AF206" s="819"/>
      <c r="AG206" s="819"/>
      <c r="AH206" s="819"/>
      <c r="AI206" s="819"/>
      <c r="AJ206" s="819"/>
      <c r="AK206" s="819"/>
      <c r="AL206" s="819"/>
      <c r="AM206" s="819"/>
      <c r="AN206" s="819"/>
      <c r="AO206" s="819"/>
      <c r="AP206" s="819"/>
      <c r="AQ206" s="819"/>
      <c r="AR206" s="819"/>
      <c r="AS206" s="819"/>
      <c r="AT206" s="819"/>
      <c r="AU206" s="819"/>
      <c r="AV206" s="819"/>
      <c r="AW206" s="819"/>
      <c r="AX206" s="819"/>
      <c r="AY206" s="819"/>
      <c r="AZ206" s="819"/>
      <c r="BA206" s="819"/>
      <c r="BC206" s="819"/>
      <c r="BD206" s="819"/>
      <c r="BE206" s="819"/>
      <c r="BF206" s="819"/>
      <c r="BG206" s="819"/>
    </row>
    <row r="207" spans="1:59" ht="14.1" customHeight="1">
      <c r="A207" s="819"/>
      <c r="B207" s="819"/>
      <c r="C207" s="819"/>
      <c r="D207" s="2093"/>
      <c r="E207" s="2093"/>
      <c r="F207" s="2093"/>
      <c r="G207" s="2093"/>
      <c r="H207" s="2093"/>
      <c r="I207" s="2093"/>
      <c r="J207" s="2093"/>
      <c r="K207" s="2093"/>
      <c r="L207" s="2093"/>
      <c r="M207" s="2093"/>
      <c r="N207" s="2093"/>
      <c r="O207" s="2093"/>
      <c r="P207" s="2093"/>
      <c r="Q207" s="2093"/>
      <c r="R207" s="2093"/>
      <c r="S207" s="2093"/>
      <c r="T207" s="2093"/>
      <c r="U207" s="2093"/>
      <c r="V207" s="2093"/>
      <c r="W207" s="2093"/>
      <c r="X207" s="2093"/>
      <c r="Y207" s="2093"/>
      <c r="Z207" s="2093"/>
      <c r="AA207" s="2093"/>
      <c r="AB207" s="2093"/>
      <c r="AC207" s="819"/>
      <c r="AE207" s="819"/>
      <c r="AF207" s="819"/>
      <c r="AG207" s="819"/>
      <c r="AH207" s="819"/>
      <c r="AI207" s="819"/>
      <c r="AJ207" s="819"/>
      <c r="AK207" s="819"/>
      <c r="AL207" s="819"/>
      <c r="AM207" s="819"/>
      <c r="AN207" s="819"/>
      <c r="AO207" s="819"/>
      <c r="AP207" s="819"/>
      <c r="AQ207" s="819"/>
      <c r="AR207" s="819"/>
      <c r="AS207" s="819"/>
      <c r="AT207" s="819"/>
      <c r="AU207" s="819"/>
      <c r="AV207" s="819"/>
      <c r="AW207" s="819"/>
      <c r="AX207" s="819"/>
      <c r="AY207" s="819"/>
      <c r="AZ207" s="819"/>
      <c r="BA207" s="819"/>
      <c r="BC207" s="819"/>
      <c r="BD207" s="819"/>
      <c r="BE207" s="819"/>
      <c r="BF207" s="819"/>
      <c r="BG207" s="819"/>
    </row>
    <row r="208" spans="1:59" ht="14.1" customHeight="1">
      <c r="A208" s="819"/>
      <c r="B208" s="819"/>
      <c r="C208" s="819"/>
      <c r="D208" s="2093"/>
      <c r="E208" s="2093"/>
      <c r="F208" s="2093"/>
      <c r="G208" s="2093"/>
      <c r="H208" s="2093"/>
      <c r="I208" s="2093"/>
      <c r="J208" s="2093"/>
      <c r="K208" s="2093"/>
      <c r="L208" s="2093"/>
      <c r="M208" s="2093"/>
      <c r="N208" s="2093"/>
      <c r="O208" s="2093"/>
      <c r="P208" s="2093"/>
      <c r="Q208" s="2093"/>
      <c r="R208" s="2093"/>
      <c r="S208" s="2093"/>
      <c r="T208" s="2093"/>
      <c r="U208" s="2093"/>
      <c r="V208" s="2093"/>
      <c r="W208" s="2093"/>
      <c r="X208" s="2093"/>
      <c r="Y208" s="2093"/>
      <c r="Z208" s="2093"/>
      <c r="AA208" s="2093"/>
      <c r="AB208" s="2093"/>
      <c r="AC208" s="819"/>
      <c r="AE208" s="819"/>
      <c r="AF208" s="819"/>
      <c r="AG208" s="819"/>
      <c r="AH208" s="819"/>
      <c r="AI208" s="819"/>
      <c r="AJ208" s="819"/>
      <c r="AK208" s="819"/>
      <c r="AL208" s="819"/>
      <c r="AM208" s="819"/>
      <c r="AN208" s="819"/>
      <c r="AO208" s="819"/>
      <c r="AP208" s="819"/>
      <c r="AQ208" s="819"/>
      <c r="AR208" s="819"/>
      <c r="AS208" s="819"/>
      <c r="AT208" s="819"/>
      <c r="AU208" s="819"/>
      <c r="AV208" s="819"/>
      <c r="AW208" s="819"/>
      <c r="AX208" s="819"/>
      <c r="AY208" s="819"/>
      <c r="AZ208" s="819"/>
      <c r="BA208" s="819"/>
      <c r="BC208" s="819"/>
      <c r="BD208" s="819"/>
      <c r="BE208" s="819"/>
      <c r="BF208" s="819"/>
      <c r="BG208" s="819"/>
    </row>
    <row r="209" spans="1:53" ht="14.1" customHeight="1">
      <c r="A209" s="819"/>
      <c r="B209" s="819"/>
      <c r="C209" s="819"/>
      <c r="D209" s="2093"/>
      <c r="E209" s="2093"/>
      <c r="F209" s="2093"/>
      <c r="G209" s="2093"/>
      <c r="H209" s="2093"/>
      <c r="I209" s="2093"/>
      <c r="J209" s="2093"/>
      <c r="K209" s="2093"/>
      <c r="L209" s="2093"/>
      <c r="M209" s="2093"/>
      <c r="N209" s="2093"/>
      <c r="O209" s="2093"/>
      <c r="P209" s="2093"/>
      <c r="Q209" s="2093"/>
      <c r="R209" s="2093"/>
      <c r="S209" s="2093"/>
      <c r="T209" s="2093"/>
      <c r="U209" s="2093"/>
      <c r="V209" s="2093"/>
      <c r="W209" s="2093"/>
      <c r="X209" s="2093"/>
      <c r="Y209" s="2093"/>
      <c r="Z209" s="2093"/>
      <c r="AA209" s="2093"/>
      <c r="AB209" s="2093"/>
      <c r="AC209" s="819"/>
      <c r="AE209" s="819"/>
      <c r="AF209" s="819"/>
      <c r="AG209" s="819"/>
      <c r="AH209" s="819"/>
      <c r="AI209" s="819"/>
      <c r="AJ209" s="819"/>
      <c r="AK209" s="819"/>
      <c r="AL209" s="819"/>
      <c r="AM209" s="819"/>
      <c r="AN209" s="819"/>
      <c r="AO209" s="819"/>
      <c r="AP209" s="819"/>
      <c r="AQ209" s="819"/>
      <c r="AR209" s="819"/>
      <c r="AS209" s="819"/>
      <c r="AT209" s="819"/>
      <c r="AU209" s="819"/>
      <c r="AV209" s="819"/>
      <c r="AW209" s="819"/>
      <c r="AX209" s="819"/>
      <c r="AY209" s="819"/>
      <c r="AZ209" s="819"/>
      <c r="BA209" s="819"/>
    </row>
    <row r="210" spans="1:53" ht="14.1" customHeight="1" thickBot="1">
      <c r="B210" s="1323"/>
      <c r="C210" s="1323"/>
      <c r="D210" s="1331"/>
      <c r="E210" s="1331"/>
      <c r="F210" s="1331"/>
      <c r="G210" s="1331"/>
      <c r="H210" s="1331"/>
      <c r="I210" s="1331"/>
      <c r="J210" s="1331"/>
      <c r="K210" s="1331"/>
      <c r="L210" s="1331"/>
      <c r="M210" s="1331"/>
      <c r="N210" s="1331"/>
      <c r="O210" s="1331"/>
      <c r="P210" s="1331"/>
      <c r="Q210" s="1331"/>
      <c r="R210" s="1331"/>
      <c r="S210" s="1331"/>
      <c r="T210" s="1331"/>
      <c r="U210" s="1331"/>
      <c r="V210" s="1331"/>
      <c r="W210" s="1331"/>
      <c r="X210" s="1331"/>
      <c r="Y210" s="1331"/>
      <c r="Z210" s="1331"/>
      <c r="AA210" s="1331"/>
      <c r="AB210" s="1331"/>
      <c r="AC210" s="819"/>
      <c r="AE210" s="819"/>
      <c r="AF210" s="819"/>
      <c r="AG210" s="819"/>
      <c r="AH210" s="819"/>
      <c r="AI210" s="819"/>
      <c r="AJ210" s="819"/>
      <c r="AK210" s="819"/>
      <c r="AL210" s="819"/>
      <c r="AM210" s="819"/>
      <c r="AN210" s="819"/>
      <c r="AO210" s="819"/>
      <c r="AP210" s="819"/>
      <c r="AQ210" s="819"/>
      <c r="AR210" s="819"/>
      <c r="AS210" s="819"/>
      <c r="AT210" s="819"/>
      <c r="AU210" s="819"/>
      <c r="AV210" s="819"/>
      <c r="AW210" s="819"/>
      <c r="AX210" s="819"/>
      <c r="AY210" s="819"/>
      <c r="AZ210" s="819"/>
      <c r="BA210" s="819"/>
    </row>
    <row r="211" spans="1:53" ht="13.5" customHeight="1" thickTop="1">
      <c r="B211" s="819"/>
      <c r="C211" s="819"/>
      <c r="D211" s="1338"/>
      <c r="E211" s="1338"/>
      <c r="F211" s="1338"/>
      <c r="G211" s="1338"/>
      <c r="H211" s="1338"/>
      <c r="I211" s="1338"/>
      <c r="J211" s="1338"/>
      <c r="K211" s="1338"/>
      <c r="L211" s="1338"/>
      <c r="M211" s="1338"/>
      <c r="N211" s="1338"/>
      <c r="O211" s="1338"/>
      <c r="P211" s="1338"/>
      <c r="Q211" s="1338"/>
      <c r="R211" s="1338"/>
      <c r="S211" s="1338"/>
      <c r="T211" s="1338"/>
      <c r="U211" s="1338"/>
      <c r="V211" s="1338"/>
      <c r="W211" s="1338"/>
      <c r="X211" s="1338"/>
      <c r="Y211" s="1338"/>
      <c r="Z211" s="1338"/>
      <c r="AA211" s="1338"/>
      <c r="AB211" s="1338"/>
      <c r="AC211" s="819"/>
      <c r="AE211" s="819"/>
      <c r="AF211" s="819"/>
      <c r="AG211" s="819"/>
      <c r="AH211" s="819"/>
      <c r="AI211" s="819"/>
      <c r="AJ211" s="819"/>
      <c r="AK211" s="819"/>
      <c r="AL211" s="819"/>
      <c r="AM211" s="819"/>
      <c r="AN211" s="819"/>
      <c r="AO211" s="819"/>
      <c r="AP211" s="819"/>
      <c r="AQ211" s="819"/>
      <c r="AR211" s="819"/>
      <c r="AS211" s="819"/>
      <c r="AT211" s="819"/>
      <c r="AU211" s="819"/>
      <c r="AV211" s="819"/>
      <c r="AW211" s="819"/>
      <c r="AX211" s="819"/>
      <c r="AY211" s="819"/>
      <c r="AZ211" s="819"/>
      <c r="BA211" s="819"/>
    </row>
    <row r="212" spans="1:53" ht="14.1" customHeight="1">
      <c r="A212" s="819"/>
      <c r="B212" s="796"/>
      <c r="C212" s="797"/>
      <c r="D212" s="797"/>
      <c r="E212" s="797"/>
      <c r="F212" s="797"/>
      <c r="G212" s="798" t="s">
        <v>1497</v>
      </c>
      <c r="H212" s="798"/>
      <c r="I212" s="797"/>
      <c r="J212" s="797"/>
      <c r="K212" s="797"/>
      <c r="L212" s="797"/>
      <c r="M212" s="797"/>
      <c r="N212" s="797"/>
      <c r="O212" s="797"/>
      <c r="P212" s="797"/>
      <c r="Q212" s="797"/>
      <c r="R212" s="797"/>
      <c r="S212" s="797"/>
      <c r="T212" s="797"/>
      <c r="U212" s="797"/>
      <c r="V212" s="798" t="s">
        <v>1497</v>
      </c>
      <c r="W212" s="798"/>
      <c r="X212" s="797"/>
      <c r="Y212" s="797"/>
      <c r="Z212" s="797"/>
      <c r="AA212" s="797"/>
      <c r="AB212" s="796"/>
      <c r="AC212" s="819"/>
      <c r="AE212" s="819"/>
      <c r="AF212" s="819"/>
      <c r="AG212" s="819"/>
      <c r="AH212" s="819"/>
      <c r="AI212" s="819"/>
      <c r="AJ212" s="819"/>
      <c r="AK212" s="819"/>
      <c r="AL212" s="819"/>
      <c r="AM212" s="819"/>
      <c r="AN212" s="819"/>
      <c r="AO212" s="819"/>
      <c r="AP212" s="819"/>
      <c r="AQ212" s="819"/>
      <c r="AR212" s="819"/>
      <c r="AS212" s="819"/>
      <c r="AT212" s="819"/>
      <c r="AU212" s="819"/>
      <c r="AV212" s="819"/>
      <c r="AW212" s="819"/>
      <c r="AX212" s="819"/>
      <c r="AY212" s="819"/>
      <c r="AZ212" s="819"/>
      <c r="BA212" s="819"/>
    </row>
    <row r="213" spans="1:53" ht="14.1" customHeight="1">
      <c r="A213" s="819"/>
      <c r="B213" s="814"/>
      <c r="C213" s="814"/>
      <c r="D213" s="796"/>
      <c r="E213" s="796"/>
      <c r="F213" s="796"/>
      <c r="G213" s="810"/>
      <c r="H213" s="811"/>
      <c r="I213" s="796"/>
      <c r="J213" s="796"/>
      <c r="K213" s="796"/>
      <c r="L213" s="796"/>
      <c r="M213" s="796"/>
      <c r="N213" s="796"/>
      <c r="O213" s="796"/>
      <c r="P213" s="814"/>
      <c r="Q213" s="814"/>
      <c r="R213" s="814"/>
      <c r="S213" s="796"/>
      <c r="T213" s="796"/>
      <c r="U213" s="796"/>
      <c r="V213" s="810"/>
      <c r="W213" s="811"/>
      <c r="X213" s="796"/>
      <c r="Y213" s="796"/>
      <c r="Z213" s="796"/>
      <c r="AA213" s="796"/>
      <c r="AB213" s="796"/>
      <c r="AC213" s="819"/>
      <c r="AE213" s="819"/>
      <c r="AF213" s="819"/>
      <c r="AG213" s="819"/>
      <c r="AH213" s="819"/>
      <c r="AI213" s="819"/>
      <c r="AJ213" s="819"/>
      <c r="AK213" s="819"/>
      <c r="AL213" s="819"/>
      <c r="AM213" s="819"/>
      <c r="AN213" s="819"/>
      <c r="AO213" s="819"/>
      <c r="AP213" s="819"/>
      <c r="AQ213" s="819"/>
      <c r="AR213" s="819"/>
      <c r="AS213" s="819"/>
      <c r="AT213" s="819"/>
      <c r="AU213" s="819"/>
      <c r="AV213" s="819"/>
      <c r="AW213" s="819"/>
      <c r="AX213" s="819"/>
      <c r="AY213" s="819"/>
      <c r="AZ213" s="819"/>
      <c r="BA213" s="819"/>
    </row>
    <row r="214" spans="1:53" ht="14.1" customHeight="1">
      <c r="A214" s="819"/>
      <c r="B214" s="814"/>
      <c r="C214" s="814"/>
      <c r="D214" s="796"/>
      <c r="E214" s="796"/>
      <c r="F214" s="796"/>
      <c r="G214" s="812"/>
      <c r="H214" s="815"/>
      <c r="I214" s="796"/>
      <c r="J214" s="796"/>
      <c r="K214" s="796"/>
      <c r="L214" s="796"/>
      <c r="M214" s="796"/>
      <c r="N214" s="796"/>
      <c r="O214" s="796"/>
      <c r="P214" s="814"/>
      <c r="Q214" s="814"/>
      <c r="R214" s="814"/>
      <c r="S214" s="796"/>
      <c r="T214" s="796"/>
      <c r="U214" s="796"/>
      <c r="V214" s="812"/>
      <c r="W214" s="815"/>
      <c r="X214" s="796"/>
      <c r="Y214" s="796"/>
      <c r="Z214" s="796"/>
      <c r="AA214" s="796"/>
      <c r="AB214" s="796"/>
      <c r="AC214" s="819"/>
      <c r="AE214" s="819"/>
      <c r="AF214" s="819"/>
      <c r="AG214" s="819"/>
      <c r="AH214" s="819"/>
      <c r="AI214" s="819"/>
      <c r="AJ214" s="819"/>
      <c r="AK214" s="819"/>
      <c r="AL214" s="819"/>
      <c r="AM214" s="819"/>
      <c r="AN214" s="819"/>
      <c r="AO214" s="819"/>
      <c r="AP214" s="819"/>
      <c r="AQ214" s="819"/>
      <c r="AR214" s="819"/>
      <c r="AS214" s="819"/>
      <c r="AT214" s="819"/>
      <c r="AU214" s="819"/>
      <c r="AV214" s="819"/>
      <c r="AW214" s="819"/>
      <c r="AX214" s="819"/>
      <c r="AY214" s="819"/>
      <c r="AZ214" s="819"/>
      <c r="BA214" s="819"/>
    </row>
    <row r="215" spans="1:53" ht="14.1" customHeight="1">
      <c r="A215" s="819"/>
      <c r="B215" s="814"/>
      <c r="C215" s="814"/>
      <c r="D215" s="796"/>
      <c r="E215" s="796" t="s">
        <v>1498</v>
      </c>
      <c r="F215" s="796"/>
      <c r="G215" s="815"/>
      <c r="H215" s="815"/>
      <c r="I215" s="796"/>
      <c r="J215" s="796"/>
      <c r="K215" s="796"/>
      <c r="L215" s="796"/>
      <c r="M215" s="796"/>
      <c r="N215" s="796"/>
      <c r="O215" s="796"/>
      <c r="P215" s="814"/>
      <c r="Q215" s="814"/>
      <c r="R215" s="814"/>
      <c r="S215" s="796"/>
      <c r="T215" s="796"/>
      <c r="U215" s="796"/>
      <c r="V215" s="815"/>
      <c r="W215" s="815"/>
      <c r="X215" s="796"/>
      <c r="Y215" s="796"/>
      <c r="Z215" s="796"/>
      <c r="AA215" s="796"/>
      <c r="AB215" s="796"/>
      <c r="AC215" s="819"/>
      <c r="AE215" s="819"/>
      <c r="AF215" s="819"/>
      <c r="AG215" s="819"/>
      <c r="AH215" s="819"/>
      <c r="AI215" s="819"/>
      <c r="AJ215" s="819"/>
      <c r="AK215" s="819"/>
      <c r="AL215" s="819"/>
      <c r="AM215" s="819"/>
      <c r="AN215" s="819"/>
      <c r="AO215" s="819"/>
      <c r="AP215" s="819"/>
      <c r="AQ215" s="819"/>
      <c r="AR215" s="819"/>
      <c r="AS215" s="819"/>
      <c r="AT215" s="819"/>
      <c r="AU215" s="819"/>
      <c r="AV215" s="819"/>
      <c r="AW215" s="819"/>
      <c r="AX215" s="819"/>
      <c r="AY215" s="819"/>
      <c r="AZ215" s="819"/>
      <c r="BA215" s="819"/>
    </row>
    <row r="216" spans="1:53" ht="14.1" customHeight="1">
      <c r="A216" s="819"/>
      <c r="B216" s="814"/>
      <c r="C216" s="814"/>
      <c r="D216" s="796"/>
      <c r="E216" s="796"/>
      <c r="F216" s="796"/>
      <c r="G216" s="815"/>
      <c r="H216" s="815"/>
      <c r="I216" s="796"/>
      <c r="J216" s="796"/>
      <c r="K216" s="796"/>
      <c r="L216" s="796"/>
      <c r="M216" s="796"/>
      <c r="N216" s="796"/>
      <c r="O216" s="796"/>
      <c r="P216" s="814"/>
      <c r="Q216" s="814"/>
      <c r="R216" s="814"/>
      <c r="S216" s="796"/>
      <c r="T216" s="796"/>
      <c r="U216" s="796"/>
      <c r="V216" s="815"/>
      <c r="W216" s="815"/>
      <c r="X216" s="796"/>
      <c r="Y216" s="796"/>
      <c r="Z216" s="796"/>
      <c r="AA216" s="796"/>
      <c r="AB216" s="796"/>
      <c r="AC216" s="819"/>
      <c r="AE216" s="819"/>
      <c r="AF216" s="819"/>
      <c r="AG216" s="819"/>
      <c r="AH216" s="819"/>
      <c r="AI216" s="819"/>
      <c r="AJ216" s="819"/>
      <c r="AK216" s="819"/>
      <c r="AL216" s="819"/>
      <c r="AM216" s="819"/>
      <c r="AN216" s="819"/>
      <c r="AO216" s="819"/>
      <c r="AP216" s="819"/>
      <c r="AQ216" s="819"/>
      <c r="AR216" s="819"/>
      <c r="AS216" s="819"/>
      <c r="AT216" s="819"/>
      <c r="AU216" s="819"/>
      <c r="AV216" s="819"/>
      <c r="AW216" s="819"/>
      <c r="AX216" s="819"/>
      <c r="AY216" s="819"/>
      <c r="AZ216" s="819"/>
      <c r="BA216" s="819"/>
    </row>
    <row r="217" spans="1:53" ht="14.1" customHeight="1">
      <c r="A217" s="819"/>
      <c r="B217" s="814"/>
      <c r="C217" s="814"/>
      <c r="D217" s="796"/>
      <c r="E217" s="796"/>
      <c r="F217" s="796"/>
      <c r="G217" s="796"/>
      <c r="H217" s="796"/>
      <c r="I217" s="796"/>
      <c r="J217" s="796"/>
      <c r="K217" s="796"/>
      <c r="L217" s="796"/>
      <c r="M217" s="796"/>
      <c r="N217" s="796"/>
      <c r="O217" s="796"/>
      <c r="P217" s="814"/>
      <c r="Q217" s="814"/>
      <c r="R217" s="814"/>
      <c r="S217" s="796"/>
      <c r="T217" s="796"/>
      <c r="U217" s="796"/>
      <c r="V217" s="796"/>
      <c r="W217" s="796"/>
      <c r="X217" s="796"/>
      <c r="Y217" s="796"/>
      <c r="Z217" s="796"/>
      <c r="AA217" s="796"/>
      <c r="AB217" s="796"/>
      <c r="AC217" s="819"/>
      <c r="AE217" s="819"/>
      <c r="AF217" s="819"/>
      <c r="AG217" s="819"/>
      <c r="AH217" s="819"/>
      <c r="AI217" s="819"/>
      <c r="AJ217" s="819"/>
      <c r="AK217" s="819"/>
      <c r="AL217" s="819"/>
      <c r="AM217" s="819"/>
      <c r="AN217" s="819"/>
      <c r="AO217" s="819"/>
      <c r="AP217" s="819"/>
      <c r="AQ217" s="819"/>
      <c r="AR217" s="819"/>
      <c r="AS217" s="819"/>
      <c r="AT217" s="819"/>
      <c r="AU217" s="819"/>
      <c r="AV217" s="819"/>
      <c r="AW217" s="819"/>
      <c r="AX217" s="819"/>
      <c r="AY217" s="819"/>
      <c r="AZ217" s="819"/>
      <c r="BA217" s="819"/>
    </row>
    <row r="218" spans="1:53" ht="14.1" customHeight="1">
      <c r="A218" s="819"/>
      <c r="B218" s="814"/>
      <c r="C218" s="814"/>
      <c r="D218" s="796"/>
      <c r="E218" s="796"/>
      <c r="F218" s="796"/>
      <c r="G218" s="801"/>
      <c r="H218" s="796"/>
      <c r="I218" s="796"/>
      <c r="J218" s="796"/>
      <c r="K218" s="796"/>
      <c r="L218" s="796"/>
      <c r="M218" s="796"/>
      <c r="N218" s="796"/>
      <c r="O218" s="796"/>
      <c r="P218" s="814"/>
      <c r="Q218" s="814"/>
      <c r="R218" s="814"/>
      <c r="S218" s="796"/>
      <c r="T218" s="796"/>
      <c r="U218" s="796"/>
      <c r="V218" s="801"/>
      <c r="W218" s="796"/>
      <c r="X218" s="796"/>
      <c r="Y218" s="796"/>
      <c r="Z218" s="796"/>
      <c r="AA218" s="796"/>
      <c r="AB218" s="796"/>
      <c r="AC218" s="819"/>
      <c r="AE218" s="819"/>
      <c r="AF218" s="819"/>
      <c r="AG218" s="819"/>
      <c r="AH218" s="819"/>
      <c r="AI218" s="819"/>
      <c r="AJ218" s="819"/>
      <c r="AK218" s="819"/>
      <c r="AL218" s="819"/>
      <c r="AM218" s="819"/>
      <c r="AN218" s="819"/>
      <c r="AO218" s="819"/>
      <c r="AP218" s="819"/>
      <c r="AQ218" s="819"/>
      <c r="AR218" s="819"/>
      <c r="AS218" s="819"/>
      <c r="AT218" s="819"/>
      <c r="AU218" s="819"/>
      <c r="AV218" s="819"/>
      <c r="AW218" s="819"/>
      <c r="AX218" s="819"/>
      <c r="AY218" s="819"/>
      <c r="AZ218" s="819"/>
      <c r="BA218" s="819"/>
    </row>
    <row r="219" spans="1:53" ht="14.1" customHeight="1" thickBot="1">
      <c r="A219" s="819"/>
      <c r="B219" s="814"/>
      <c r="C219" s="814"/>
      <c r="D219" s="789" t="s">
        <v>1499</v>
      </c>
      <c r="E219" s="789"/>
      <c r="F219" s="789"/>
      <c r="G219" s="801"/>
      <c r="H219" s="796"/>
      <c r="I219" s="796"/>
      <c r="J219" s="796"/>
      <c r="K219" s="796"/>
      <c r="L219" s="796"/>
      <c r="M219" s="796"/>
      <c r="N219" s="796"/>
      <c r="O219" s="796"/>
      <c r="P219" s="814"/>
      <c r="Q219" s="814"/>
      <c r="R219" s="814"/>
      <c r="S219" s="789" t="s">
        <v>1499</v>
      </c>
      <c r="T219" s="789"/>
      <c r="U219" s="789"/>
      <c r="V219" s="801"/>
      <c r="W219" s="796"/>
      <c r="X219" s="796"/>
      <c r="Y219" s="796"/>
      <c r="Z219" s="796"/>
      <c r="AA219" s="796"/>
      <c r="AB219" s="796"/>
      <c r="AC219" s="819"/>
      <c r="AE219" s="819"/>
      <c r="AF219" s="819"/>
      <c r="AG219" s="819"/>
      <c r="AH219" s="819"/>
      <c r="AI219" s="819"/>
      <c r="AJ219" s="819"/>
      <c r="AK219" s="819"/>
      <c r="AL219" s="819"/>
      <c r="AM219" s="819"/>
      <c r="AN219" s="819"/>
      <c r="AO219" s="819"/>
      <c r="AP219" s="819"/>
      <c r="AQ219" s="819"/>
      <c r="AR219" s="819"/>
      <c r="AS219" s="819"/>
      <c r="AT219" s="819"/>
      <c r="AU219" s="819"/>
      <c r="AV219" s="819"/>
      <c r="AW219" s="819"/>
      <c r="AX219" s="819"/>
      <c r="AY219" s="819"/>
      <c r="AZ219" s="819"/>
      <c r="BA219" s="819"/>
    </row>
    <row r="220" spans="1:53" ht="14.1" customHeight="1" thickTop="1" thickBot="1">
      <c r="A220" s="819"/>
      <c r="B220" s="796"/>
      <c r="C220" s="796"/>
      <c r="D220" s="802"/>
      <c r="E220" s="2017" t="s">
        <v>69</v>
      </c>
      <c r="F220" s="803"/>
      <c r="G220" s="804"/>
      <c r="H220" s="805"/>
      <c r="I220" s="802"/>
      <c r="J220" s="2108" t="s">
        <v>1473</v>
      </c>
      <c r="K220" s="802"/>
      <c r="L220" s="796"/>
      <c r="M220" s="796"/>
      <c r="N220" s="796"/>
      <c r="O220" s="796"/>
      <c r="P220" s="814"/>
      <c r="Q220" s="796"/>
      <c r="R220" s="796"/>
      <c r="S220" s="802"/>
      <c r="T220" s="2017" t="s">
        <v>69</v>
      </c>
      <c r="U220" s="803"/>
      <c r="V220" s="804"/>
      <c r="W220" s="805"/>
      <c r="X220" s="802"/>
      <c r="Y220" s="2108" t="s">
        <v>1473</v>
      </c>
      <c r="Z220" s="802"/>
      <c r="AA220" s="796"/>
      <c r="AB220" s="796"/>
      <c r="AC220" s="819"/>
      <c r="AE220" s="819"/>
      <c r="AF220" s="819"/>
      <c r="AG220" s="819"/>
      <c r="AH220" s="819"/>
      <c r="AI220" s="819"/>
      <c r="AJ220" s="819"/>
      <c r="AK220" s="819"/>
      <c r="AL220" s="819"/>
      <c r="AM220" s="819"/>
      <c r="AN220" s="819"/>
      <c r="AO220" s="819"/>
      <c r="AP220" s="819"/>
      <c r="AQ220" s="819"/>
      <c r="AR220" s="819"/>
      <c r="AS220" s="819"/>
      <c r="AT220" s="819"/>
      <c r="AU220" s="819"/>
      <c r="AV220" s="819"/>
      <c r="AW220" s="819"/>
      <c r="AX220" s="819"/>
      <c r="AY220" s="819"/>
      <c r="AZ220" s="819"/>
      <c r="BA220" s="819"/>
    </row>
    <row r="221" spans="1:53" ht="14.1" customHeight="1" thickTop="1" thickBot="1">
      <c r="A221" s="819"/>
      <c r="B221" s="796"/>
      <c r="C221" s="796"/>
      <c r="D221" s="806"/>
      <c r="E221" s="2018"/>
      <c r="F221" s="796"/>
      <c r="G221" s="796"/>
      <c r="H221" s="796"/>
      <c r="I221" s="796"/>
      <c r="J221" s="2109"/>
      <c r="K221" s="792"/>
      <c r="L221" s="796"/>
      <c r="M221" s="796"/>
      <c r="N221" s="796"/>
      <c r="O221" s="796"/>
      <c r="P221" s="814"/>
      <c r="Q221" s="796"/>
      <c r="R221" s="796"/>
      <c r="S221" s="806"/>
      <c r="T221" s="2018"/>
      <c r="U221" s="796"/>
      <c r="V221" s="796"/>
      <c r="W221" s="796"/>
      <c r="X221" s="796"/>
      <c r="Y221" s="2109"/>
      <c r="Z221" s="792"/>
      <c r="AA221" s="796"/>
      <c r="AB221" s="796"/>
      <c r="AC221" s="819"/>
      <c r="AE221" s="819"/>
      <c r="AF221" s="819"/>
      <c r="AG221" s="819"/>
      <c r="AH221" s="819"/>
      <c r="AI221" s="819"/>
      <c r="AJ221" s="819"/>
      <c r="AK221" s="819"/>
      <c r="AL221" s="819"/>
      <c r="AM221" s="819"/>
      <c r="AN221" s="819"/>
      <c r="AO221" s="819"/>
      <c r="AP221" s="819"/>
      <c r="AQ221" s="819"/>
      <c r="AR221" s="819"/>
      <c r="AS221" s="819"/>
      <c r="AT221" s="819"/>
      <c r="AU221" s="819"/>
      <c r="AV221" s="819"/>
      <c r="AW221" s="819"/>
      <c r="AX221" s="819"/>
      <c r="AY221" s="819"/>
      <c r="AZ221" s="819"/>
      <c r="BA221" s="819"/>
    </row>
    <row r="222" spans="1:53" ht="14.1" customHeight="1" thickTop="1" thickBot="1">
      <c r="A222" s="2103" t="s">
        <v>349</v>
      </c>
      <c r="B222" s="2114" t="s">
        <v>334</v>
      </c>
      <c r="C222" s="2118"/>
      <c r="D222" s="814"/>
      <c r="E222" s="814"/>
      <c r="F222" s="796"/>
      <c r="G222" s="796"/>
      <c r="H222" s="796"/>
      <c r="I222" s="796"/>
      <c r="J222" s="796"/>
      <c r="K222" s="801"/>
      <c r="L222" s="2116" t="s">
        <v>341</v>
      </c>
      <c r="M222" s="2117"/>
      <c r="N222" s="2119" t="s">
        <v>1500</v>
      </c>
      <c r="O222" s="2119"/>
      <c r="P222" s="2103" t="s">
        <v>349</v>
      </c>
      <c r="Q222" s="2114" t="s">
        <v>334</v>
      </c>
      <c r="R222" s="2118"/>
      <c r="S222" s="814"/>
      <c r="T222" s="814"/>
      <c r="U222" s="796"/>
      <c r="V222" s="796"/>
      <c r="W222" s="796"/>
      <c r="X222" s="796"/>
      <c r="Y222" s="796"/>
      <c r="Z222" s="801"/>
      <c r="AA222" s="2113" t="s">
        <v>341</v>
      </c>
      <c r="AB222" s="2114"/>
      <c r="AC222" s="819"/>
      <c r="AE222" s="819"/>
      <c r="AF222" s="819"/>
      <c r="AG222" s="819"/>
      <c r="AH222" s="819"/>
      <c r="AI222" s="819"/>
      <c r="AJ222" s="819"/>
      <c r="AK222" s="819"/>
      <c r="AL222" s="819"/>
      <c r="AM222" s="819"/>
      <c r="AN222" s="819"/>
      <c r="AO222" s="819"/>
      <c r="AP222" s="819"/>
      <c r="AQ222" s="819"/>
      <c r="AR222" s="819"/>
      <c r="AS222" s="819"/>
      <c r="AT222" s="819"/>
      <c r="AU222" s="819"/>
      <c r="AV222" s="819"/>
      <c r="AW222" s="819"/>
      <c r="AX222" s="819"/>
      <c r="AY222" s="819"/>
      <c r="AZ222" s="819"/>
      <c r="BA222" s="819"/>
    </row>
    <row r="223" spans="1:53" ht="14.1" customHeight="1" thickTop="1" thickBot="1">
      <c r="A223" s="2103"/>
      <c r="B223" s="807"/>
      <c r="C223" s="792"/>
      <c r="D223" s="796"/>
      <c r="E223" s="796"/>
      <c r="F223" s="796"/>
      <c r="G223" s="796"/>
      <c r="H223" s="796"/>
      <c r="I223" s="796"/>
      <c r="J223" s="796"/>
      <c r="K223" s="801"/>
      <c r="L223" s="2110" t="s">
        <v>1501</v>
      </c>
      <c r="M223" s="2110"/>
      <c r="N223" s="2119"/>
      <c r="O223" s="2119"/>
      <c r="P223" s="2103"/>
      <c r="Q223" s="807"/>
      <c r="R223" s="792"/>
      <c r="S223" s="796"/>
      <c r="T223" s="796"/>
      <c r="U223" s="796"/>
      <c r="V223" s="796"/>
      <c r="W223" s="796"/>
      <c r="X223" s="796"/>
      <c r="Y223" s="796"/>
      <c r="Z223" s="801"/>
      <c r="AA223" s="795"/>
      <c r="AB223" s="794"/>
      <c r="AC223" s="819"/>
      <c r="AE223" s="819"/>
      <c r="AF223" s="819"/>
      <c r="AG223" s="819"/>
      <c r="AH223" s="819"/>
      <c r="AI223" s="819"/>
      <c r="AJ223" s="819"/>
      <c r="AK223" s="819"/>
      <c r="AL223" s="819"/>
      <c r="AM223" s="819"/>
      <c r="AN223" s="819"/>
      <c r="AO223" s="819"/>
      <c r="AP223" s="819"/>
      <c r="AQ223" s="819"/>
      <c r="AR223" s="819"/>
      <c r="AS223" s="819"/>
      <c r="AT223" s="819"/>
      <c r="AU223" s="819"/>
      <c r="AV223" s="819"/>
      <c r="AW223" s="819"/>
      <c r="AX223" s="819"/>
      <c r="AY223" s="819"/>
      <c r="AZ223" s="819"/>
      <c r="BA223" s="819"/>
    </row>
    <row r="224" spans="1:53" ht="14.1" customHeight="1" thickTop="1" thickBot="1">
      <c r="A224" s="819"/>
      <c r="B224" s="796"/>
      <c r="C224" s="801"/>
      <c r="D224" s="808"/>
      <c r="E224" s="2022" t="s">
        <v>1478</v>
      </c>
      <c r="F224" s="809"/>
      <c r="G224" s="809"/>
      <c r="H224" s="809"/>
      <c r="I224" s="809"/>
      <c r="J224" s="2108" t="s">
        <v>1475</v>
      </c>
      <c r="K224" s="793"/>
      <c r="L224" s="2111"/>
      <c r="M224" s="2111"/>
      <c r="N224" s="796"/>
      <c r="O224" s="796"/>
      <c r="P224" s="794"/>
      <c r="Q224" s="796"/>
      <c r="R224" s="801"/>
      <c r="S224" s="808"/>
      <c r="T224" s="2022" t="s">
        <v>1478</v>
      </c>
      <c r="U224" s="809"/>
      <c r="V224" s="809"/>
      <c r="W224" s="809"/>
      <c r="X224" s="809"/>
      <c r="Y224" s="2022" t="s">
        <v>1475</v>
      </c>
      <c r="Z224" s="793"/>
      <c r="AA224" s="796"/>
      <c r="AB224" s="796"/>
      <c r="AC224" s="819"/>
      <c r="AE224" s="819"/>
      <c r="AF224" s="819"/>
      <c r="AG224" s="819"/>
      <c r="AH224" s="819"/>
      <c r="AI224" s="819"/>
      <c r="AJ224" s="819"/>
      <c r="AK224" s="819"/>
      <c r="AL224" s="819"/>
      <c r="AM224" s="819"/>
      <c r="AN224" s="819"/>
      <c r="AO224" s="819"/>
      <c r="AP224" s="819"/>
      <c r="AQ224" s="819"/>
      <c r="AR224" s="819"/>
      <c r="AS224" s="819"/>
      <c r="AT224" s="819"/>
      <c r="AU224" s="819"/>
      <c r="AV224" s="819"/>
      <c r="AW224" s="819"/>
      <c r="AX224" s="819"/>
      <c r="AY224" s="819"/>
      <c r="AZ224" s="819"/>
      <c r="BA224" s="819"/>
    </row>
    <row r="225" spans="1:53" ht="14.1" customHeight="1" thickTop="1" thickBot="1">
      <c r="A225" s="819"/>
      <c r="B225" s="796"/>
      <c r="C225" s="796"/>
      <c r="D225" s="796"/>
      <c r="E225" s="2023"/>
      <c r="F225" s="796"/>
      <c r="G225" s="801"/>
      <c r="H225" s="796"/>
      <c r="I225" s="796"/>
      <c r="J225" s="2109"/>
      <c r="K225" s="796"/>
      <c r="L225" s="2111"/>
      <c r="M225" s="2111"/>
      <c r="N225" s="796"/>
      <c r="O225" s="796"/>
      <c r="P225" s="796"/>
      <c r="Q225" s="796"/>
      <c r="R225" s="796"/>
      <c r="S225" s="796"/>
      <c r="T225" s="2023"/>
      <c r="U225" s="796"/>
      <c r="V225" s="801"/>
      <c r="W225" s="796"/>
      <c r="X225" s="796"/>
      <c r="Y225" s="2023"/>
      <c r="Z225" s="796"/>
      <c r="AA225" s="796"/>
      <c r="AB225" s="796"/>
      <c r="AC225" s="819"/>
      <c r="AE225" s="819"/>
      <c r="AF225" s="819"/>
      <c r="AG225" s="819"/>
      <c r="AH225" s="819"/>
      <c r="AI225" s="819"/>
      <c r="AJ225" s="819"/>
      <c r="AK225" s="819"/>
      <c r="AL225" s="819"/>
      <c r="AM225" s="819"/>
      <c r="AN225" s="819"/>
      <c r="AO225" s="819"/>
      <c r="AP225" s="819"/>
      <c r="AQ225" s="819"/>
      <c r="AR225" s="819"/>
      <c r="AS225" s="819"/>
      <c r="AT225" s="819"/>
      <c r="AU225" s="819"/>
      <c r="AV225" s="819"/>
      <c r="AW225" s="819"/>
      <c r="AX225" s="819"/>
      <c r="AY225" s="819"/>
      <c r="AZ225" s="819"/>
      <c r="BA225" s="819"/>
    </row>
    <row r="226" spans="1:53" ht="14.1" customHeight="1">
      <c r="A226" s="819"/>
      <c r="B226" s="796"/>
      <c r="C226" s="796"/>
      <c r="D226" s="796"/>
      <c r="E226" s="796"/>
      <c r="F226" s="796"/>
      <c r="G226" s="801"/>
      <c r="H226" s="796"/>
      <c r="I226" s="796"/>
      <c r="J226" s="796"/>
      <c r="K226" s="796"/>
      <c r="L226" s="2111"/>
      <c r="M226" s="2111"/>
      <c r="N226" s="796"/>
      <c r="O226" s="796"/>
      <c r="P226" s="796"/>
      <c r="Q226" s="796"/>
      <c r="R226" s="796"/>
      <c r="S226" s="796"/>
      <c r="T226" s="796"/>
      <c r="U226" s="796"/>
      <c r="V226" s="801"/>
      <c r="W226" s="796"/>
      <c r="X226" s="2112" t="s">
        <v>1502</v>
      </c>
      <c r="Y226" s="2112"/>
      <c r="Z226" s="2112"/>
      <c r="AA226" s="796"/>
      <c r="AB226" s="796"/>
      <c r="AC226" s="819"/>
      <c r="AE226" s="819"/>
      <c r="AF226" s="819"/>
      <c r="AG226" s="819"/>
      <c r="AH226" s="819"/>
      <c r="AI226" s="819"/>
      <c r="AJ226" s="819"/>
      <c r="AK226" s="819"/>
      <c r="AL226" s="819"/>
      <c r="AM226" s="819"/>
      <c r="AN226" s="819"/>
      <c r="AO226" s="819"/>
      <c r="AP226" s="819"/>
      <c r="AQ226" s="819"/>
      <c r="AR226" s="819"/>
      <c r="AS226" s="819"/>
      <c r="AT226" s="819"/>
      <c r="AU226" s="819"/>
      <c r="AV226" s="819"/>
      <c r="AW226" s="819"/>
      <c r="AX226" s="819"/>
      <c r="AY226" s="819"/>
      <c r="AZ226" s="819"/>
      <c r="BA226" s="819"/>
    </row>
    <row r="227" spans="1:53" ht="14.1" customHeight="1">
      <c r="A227" s="819"/>
      <c r="B227" s="796"/>
      <c r="C227" s="796"/>
      <c r="D227" s="796"/>
      <c r="E227" s="796"/>
      <c r="F227" s="796"/>
      <c r="G227" s="810"/>
      <c r="H227" s="811"/>
      <c r="I227" s="796"/>
      <c r="J227" s="796"/>
      <c r="K227" s="796"/>
      <c r="L227" s="796"/>
      <c r="M227" s="796"/>
      <c r="N227" s="796"/>
      <c r="O227" s="796"/>
      <c r="P227" s="796"/>
      <c r="Q227" s="796"/>
      <c r="R227" s="796"/>
      <c r="S227" s="796"/>
      <c r="T227" s="796"/>
      <c r="U227" s="796"/>
      <c r="V227" s="810"/>
      <c r="W227" s="811"/>
      <c r="X227" s="2112"/>
      <c r="Y227" s="2112"/>
      <c r="Z227" s="2112"/>
      <c r="AA227" s="796"/>
      <c r="AB227" s="796"/>
      <c r="AC227" s="819"/>
      <c r="AE227" s="819"/>
      <c r="AF227" s="819"/>
      <c r="AG227" s="819"/>
      <c r="AH227" s="819"/>
      <c r="AI227" s="819"/>
      <c r="AJ227" s="819"/>
      <c r="AK227" s="819"/>
      <c r="AL227" s="819"/>
      <c r="AM227" s="819"/>
      <c r="AN227" s="819"/>
      <c r="AO227" s="819"/>
      <c r="AP227" s="819"/>
      <c r="AQ227" s="819"/>
      <c r="AR227" s="819"/>
      <c r="AS227" s="819"/>
      <c r="AT227" s="819"/>
      <c r="AU227" s="819"/>
      <c r="AV227" s="819"/>
      <c r="AW227" s="819"/>
      <c r="AX227" s="819"/>
      <c r="AY227" s="819"/>
      <c r="AZ227" s="819"/>
      <c r="BA227" s="819"/>
    </row>
    <row r="228" spans="1:53" ht="14.1" customHeight="1">
      <c r="A228" s="819"/>
      <c r="B228" s="813"/>
      <c r="C228" s="796"/>
      <c r="D228" s="796"/>
      <c r="E228" s="796"/>
      <c r="F228" s="796"/>
      <c r="G228" s="2115" t="s">
        <v>338</v>
      </c>
      <c r="H228" s="2115"/>
      <c r="I228" s="796"/>
      <c r="J228" s="796"/>
      <c r="K228" s="796"/>
      <c r="L228" s="796"/>
      <c r="M228" s="796"/>
      <c r="N228" s="796"/>
      <c r="O228" s="796"/>
      <c r="P228" s="813"/>
      <c r="Q228" s="813"/>
      <c r="R228" s="796"/>
      <c r="S228" s="796"/>
      <c r="T228" s="796"/>
      <c r="U228" s="796"/>
      <c r="V228" s="2115" t="s">
        <v>338</v>
      </c>
      <c r="W228" s="2115"/>
      <c r="X228" s="2112"/>
      <c r="Y228" s="2112"/>
      <c r="Z228" s="2112"/>
      <c r="AA228" s="796"/>
      <c r="AB228" s="796"/>
      <c r="AC228" s="819"/>
      <c r="AE228" s="819"/>
      <c r="AF228" s="819"/>
      <c r="AG228" s="819"/>
      <c r="AH228" s="819"/>
      <c r="AI228" s="819"/>
      <c r="AJ228" s="819"/>
      <c r="AK228" s="819"/>
      <c r="AL228" s="819"/>
      <c r="AM228" s="819"/>
      <c r="AN228" s="819"/>
      <c r="AO228" s="819"/>
      <c r="AP228" s="819"/>
      <c r="AQ228" s="819"/>
      <c r="AR228" s="819"/>
      <c r="AS228" s="819"/>
      <c r="AT228" s="819"/>
      <c r="AU228" s="819"/>
      <c r="AV228" s="819"/>
      <c r="AW228" s="819"/>
      <c r="AX228" s="819"/>
      <c r="AY228" s="819"/>
      <c r="AZ228" s="819"/>
      <c r="BA228" s="819"/>
    </row>
    <row r="229" spans="1:53" ht="14.1" customHeight="1">
      <c r="A229" s="819"/>
      <c r="B229" s="813"/>
      <c r="C229" s="813"/>
      <c r="D229" s="796"/>
      <c r="E229" s="796"/>
      <c r="F229" s="796"/>
      <c r="G229" s="796"/>
      <c r="H229" s="815"/>
      <c r="I229" s="815"/>
      <c r="J229" s="796"/>
      <c r="K229" s="796"/>
      <c r="L229" s="796"/>
      <c r="M229" s="796"/>
      <c r="N229" s="796"/>
      <c r="O229" s="796"/>
      <c r="P229" s="796"/>
      <c r="Q229" s="796"/>
      <c r="R229" s="813"/>
      <c r="S229" s="813"/>
      <c r="T229" s="796"/>
      <c r="U229" s="796"/>
      <c r="V229" s="811"/>
      <c r="W229" s="811"/>
      <c r="X229" s="811"/>
      <c r="Y229" s="811"/>
      <c r="Z229" s="796"/>
      <c r="AA229" s="796"/>
      <c r="AB229" s="796"/>
      <c r="AC229" s="819"/>
      <c r="AE229" s="819"/>
      <c r="AF229" s="819"/>
      <c r="AG229" s="819"/>
      <c r="AH229" s="819"/>
      <c r="AI229" s="819"/>
      <c r="AJ229" s="819"/>
      <c r="AK229" s="819"/>
      <c r="AL229" s="819"/>
      <c r="AM229" s="819"/>
      <c r="AN229" s="819"/>
      <c r="AO229" s="819"/>
      <c r="AP229" s="819"/>
      <c r="AQ229" s="819"/>
      <c r="AR229" s="819"/>
      <c r="AS229" s="819"/>
      <c r="AT229" s="819"/>
      <c r="AU229" s="819"/>
      <c r="AV229" s="819"/>
      <c r="AW229" s="819"/>
      <c r="AX229" s="819"/>
      <c r="AY229" s="819"/>
      <c r="AZ229" s="819"/>
      <c r="BA229" s="819"/>
    </row>
    <row r="230" spans="1:53" ht="14.1" customHeight="1">
      <c r="A230" s="819"/>
      <c r="B230" s="819"/>
      <c r="C230" s="2104" t="s">
        <v>1485</v>
      </c>
      <c r="D230" s="2105"/>
      <c r="E230" s="1401"/>
      <c r="F230" s="1401"/>
      <c r="G230" s="1401"/>
      <c r="H230" s="1401"/>
      <c r="I230" s="1401"/>
      <c r="J230" s="1401"/>
      <c r="K230" s="1401"/>
      <c r="L230" s="1401"/>
      <c r="M230" s="1401"/>
      <c r="N230" s="1401"/>
      <c r="O230" s="1401"/>
      <c r="P230" s="1401"/>
      <c r="Q230" s="1401"/>
      <c r="R230" s="1401"/>
      <c r="S230" s="1401"/>
      <c r="T230" s="1401"/>
      <c r="U230" s="1401"/>
      <c r="V230" s="1401"/>
      <c r="W230" s="1401"/>
      <c r="X230" s="1401"/>
      <c r="Y230" s="1401"/>
      <c r="Z230" s="1401"/>
      <c r="AA230" s="1401"/>
      <c r="AB230" s="1401"/>
      <c r="AC230" s="819"/>
      <c r="AE230" s="819"/>
      <c r="AF230" s="819"/>
      <c r="AG230" s="819"/>
      <c r="AH230" s="819"/>
      <c r="AI230" s="819"/>
      <c r="AJ230" s="819"/>
      <c r="AK230" s="819"/>
      <c r="AL230" s="819"/>
      <c r="AM230" s="819"/>
      <c r="AN230" s="819"/>
      <c r="AO230" s="819"/>
      <c r="AP230" s="819"/>
      <c r="AQ230" s="819"/>
      <c r="AR230" s="819"/>
      <c r="AS230" s="819"/>
      <c r="AT230" s="819"/>
      <c r="AU230" s="819"/>
      <c r="AV230" s="819"/>
      <c r="AW230" s="819"/>
      <c r="AX230" s="819"/>
      <c r="AY230" s="819"/>
      <c r="AZ230" s="819"/>
      <c r="BA230" s="819"/>
    </row>
    <row r="231" spans="1:53" ht="14.1" customHeight="1">
      <c r="A231" s="819"/>
      <c r="B231" s="819"/>
      <c r="C231" s="819"/>
      <c r="D231" s="2093" t="s">
        <v>1503</v>
      </c>
      <c r="E231" s="2093"/>
      <c r="F231" s="2093"/>
      <c r="G231" s="2093"/>
      <c r="H231" s="2093"/>
      <c r="I231" s="2093"/>
      <c r="J231" s="2093"/>
      <c r="K231" s="2093"/>
      <c r="L231" s="2093"/>
      <c r="M231" s="2093"/>
      <c r="N231" s="2093"/>
      <c r="O231" s="2093"/>
      <c r="P231" s="2093"/>
      <c r="Q231" s="2093"/>
      <c r="R231" s="2093"/>
      <c r="S231" s="2093"/>
      <c r="T231" s="2093"/>
      <c r="U231" s="2093"/>
      <c r="V231" s="2093"/>
      <c r="W231" s="2093"/>
      <c r="X231" s="2093"/>
      <c r="Y231" s="2093"/>
      <c r="Z231" s="2093"/>
      <c r="AA231" s="2093"/>
      <c r="AB231" s="2093"/>
      <c r="AC231" s="2093"/>
      <c r="AE231" s="819"/>
      <c r="AF231" s="819"/>
      <c r="AG231" s="819"/>
      <c r="AH231" s="819"/>
      <c r="AI231" s="819"/>
      <c r="AJ231" s="819"/>
      <c r="AK231" s="819"/>
      <c r="AL231" s="819"/>
      <c r="AM231" s="819"/>
      <c r="AN231" s="819"/>
      <c r="AO231" s="819"/>
      <c r="AP231" s="819"/>
      <c r="AQ231" s="819"/>
      <c r="AR231" s="819"/>
      <c r="AS231" s="819"/>
      <c r="AT231" s="819"/>
      <c r="AU231" s="819"/>
      <c r="AV231" s="819"/>
      <c r="AW231" s="819"/>
      <c r="AX231" s="819"/>
      <c r="AY231" s="819"/>
      <c r="AZ231" s="819"/>
      <c r="BA231" s="819"/>
    </row>
    <row r="232" spans="1:53" ht="14.1" customHeight="1">
      <c r="A232" s="819"/>
      <c r="B232" s="819"/>
      <c r="C232" s="819"/>
      <c r="D232" s="2093"/>
      <c r="E232" s="2093"/>
      <c r="F232" s="2093"/>
      <c r="G232" s="2093"/>
      <c r="H232" s="2093"/>
      <c r="I232" s="2093"/>
      <c r="J232" s="2093"/>
      <c r="K232" s="2093"/>
      <c r="L232" s="2093"/>
      <c r="M232" s="2093"/>
      <c r="N232" s="2093"/>
      <c r="O232" s="2093"/>
      <c r="P232" s="2093"/>
      <c r="Q232" s="2093"/>
      <c r="R232" s="2093"/>
      <c r="S232" s="2093"/>
      <c r="T232" s="2093"/>
      <c r="U232" s="2093"/>
      <c r="V232" s="2093"/>
      <c r="W232" s="2093"/>
      <c r="X232" s="2093"/>
      <c r="Y232" s="2093"/>
      <c r="Z232" s="2093"/>
      <c r="AA232" s="2093"/>
      <c r="AB232" s="2093"/>
      <c r="AC232" s="2093"/>
      <c r="AE232" s="819"/>
      <c r="AF232" s="819"/>
      <c r="AG232" s="819"/>
      <c r="AH232" s="819"/>
      <c r="AI232" s="819"/>
      <c r="AJ232" s="819"/>
      <c r="AK232" s="819"/>
      <c r="AL232" s="819"/>
      <c r="AM232" s="819"/>
      <c r="AN232" s="819"/>
      <c r="AO232" s="819"/>
      <c r="AP232" s="819"/>
      <c r="AQ232" s="819"/>
      <c r="AR232" s="819"/>
      <c r="AS232" s="819"/>
      <c r="AT232" s="819"/>
      <c r="AU232" s="819"/>
      <c r="AV232" s="819"/>
      <c r="AW232" s="819"/>
      <c r="AX232" s="819"/>
      <c r="AY232" s="819"/>
      <c r="AZ232" s="819"/>
      <c r="BA232" s="819"/>
    </row>
    <row r="233" spans="1:53" ht="14.1" customHeight="1">
      <c r="A233" s="819"/>
      <c r="B233" s="819"/>
      <c r="C233" s="819"/>
      <c r="D233" s="2093"/>
      <c r="E233" s="2093"/>
      <c r="F233" s="2093"/>
      <c r="G233" s="2093"/>
      <c r="H233" s="2093"/>
      <c r="I233" s="2093"/>
      <c r="J233" s="2093"/>
      <c r="K233" s="2093"/>
      <c r="L233" s="2093"/>
      <c r="M233" s="2093"/>
      <c r="N233" s="2093"/>
      <c r="O233" s="2093"/>
      <c r="P233" s="2093"/>
      <c r="Q233" s="2093"/>
      <c r="R233" s="2093"/>
      <c r="S233" s="2093"/>
      <c r="T233" s="2093"/>
      <c r="U233" s="2093"/>
      <c r="V233" s="2093"/>
      <c r="W233" s="2093"/>
      <c r="X233" s="2093"/>
      <c r="Y233" s="2093"/>
      <c r="Z233" s="2093"/>
      <c r="AA233" s="2093"/>
      <c r="AB233" s="2093"/>
      <c r="AC233" s="2093"/>
      <c r="AE233" s="819"/>
      <c r="AF233" s="819"/>
      <c r="AG233" s="819"/>
      <c r="AH233" s="819"/>
      <c r="AI233" s="819"/>
      <c r="AJ233" s="819"/>
      <c r="AK233" s="819"/>
      <c r="AL233" s="819"/>
      <c r="AM233" s="819"/>
      <c r="AN233" s="819"/>
      <c r="AO233" s="819"/>
      <c r="AP233" s="819"/>
      <c r="AQ233" s="819"/>
      <c r="AR233" s="819"/>
      <c r="AS233" s="819"/>
      <c r="AT233" s="819"/>
      <c r="AU233" s="819"/>
      <c r="AV233" s="819"/>
      <c r="AW233" s="819"/>
      <c r="AX233" s="819"/>
      <c r="AY233" s="819"/>
      <c r="AZ233" s="819"/>
      <c r="BA233" s="819"/>
    </row>
    <row r="234" spans="1:53" ht="14.1" customHeight="1">
      <c r="A234" s="819"/>
      <c r="B234" s="819"/>
      <c r="C234" s="819"/>
      <c r="D234" s="2093"/>
      <c r="E234" s="2093"/>
      <c r="F234" s="2093"/>
      <c r="G234" s="2093"/>
      <c r="H234" s="2093"/>
      <c r="I234" s="2093"/>
      <c r="J234" s="2093"/>
      <c r="K234" s="2093"/>
      <c r="L234" s="2093"/>
      <c r="M234" s="2093"/>
      <c r="N234" s="2093"/>
      <c r="O234" s="2093"/>
      <c r="P234" s="2093"/>
      <c r="Q234" s="2093"/>
      <c r="R234" s="2093"/>
      <c r="S234" s="2093"/>
      <c r="T234" s="2093"/>
      <c r="U234" s="2093"/>
      <c r="V234" s="2093"/>
      <c r="W234" s="2093"/>
      <c r="X234" s="2093"/>
      <c r="Y234" s="2093"/>
      <c r="Z234" s="2093"/>
      <c r="AA234" s="2093"/>
      <c r="AB234" s="2093"/>
      <c r="AC234" s="2093"/>
      <c r="AE234" s="819"/>
      <c r="AF234" s="819"/>
      <c r="AG234" s="819"/>
      <c r="AH234" s="819"/>
      <c r="AI234" s="819"/>
      <c r="AJ234" s="819"/>
      <c r="AK234" s="819"/>
      <c r="AL234" s="819"/>
      <c r="AM234" s="819"/>
      <c r="AN234" s="819"/>
      <c r="AO234" s="819"/>
      <c r="AP234" s="819"/>
      <c r="AQ234" s="819"/>
      <c r="AR234" s="819"/>
      <c r="AS234" s="819"/>
      <c r="AT234" s="819"/>
      <c r="AU234" s="819"/>
      <c r="AV234" s="819"/>
      <c r="AW234" s="819"/>
      <c r="AX234" s="819"/>
      <c r="AY234" s="819"/>
      <c r="AZ234" s="819"/>
      <c r="BA234" s="819"/>
    </row>
    <row r="235" spans="1:53" ht="14.1" customHeight="1">
      <c r="A235" s="819"/>
      <c r="B235" s="819"/>
      <c r="C235" s="819"/>
      <c r="D235" s="2093"/>
      <c r="E235" s="2093"/>
      <c r="F235" s="2093"/>
      <c r="G235" s="2093"/>
      <c r="H235" s="2093"/>
      <c r="I235" s="2093"/>
      <c r="J235" s="2093"/>
      <c r="K235" s="2093"/>
      <c r="L235" s="2093"/>
      <c r="M235" s="2093"/>
      <c r="N235" s="2093"/>
      <c r="O235" s="2093"/>
      <c r="P235" s="2093"/>
      <c r="Q235" s="2093"/>
      <c r="R235" s="2093"/>
      <c r="S235" s="2093"/>
      <c r="T235" s="2093"/>
      <c r="U235" s="2093"/>
      <c r="V235" s="2093"/>
      <c r="W235" s="2093"/>
      <c r="X235" s="2093"/>
      <c r="Y235" s="2093"/>
      <c r="Z235" s="2093"/>
      <c r="AA235" s="2093"/>
      <c r="AB235" s="2093"/>
      <c r="AC235" s="2093"/>
      <c r="AE235" s="819"/>
      <c r="AF235" s="819"/>
      <c r="AG235" s="819"/>
      <c r="AH235" s="819"/>
      <c r="AI235" s="819"/>
      <c r="AJ235" s="819"/>
      <c r="AK235" s="819"/>
      <c r="AL235" s="819"/>
      <c r="AM235" s="819"/>
      <c r="AN235" s="819"/>
      <c r="AO235" s="819"/>
      <c r="AP235" s="819"/>
      <c r="AQ235" s="819"/>
      <c r="AR235" s="819"/>
      <c r="AS235" s="819"/>
      <c r="AT235" s="819"/>
      <c r="AU235" s="819"/>
      <c r="AV235" s="819"/>
      <c r="AW235" s="819"/>
      <c r="AX235" s="819"/>
      <c r="AY235" s="819"/>
      <c r="AZ235" s="819"/>
      <c r="BA235" s="819"/>
    </row>
    <row r="236" spans="1:53" ht="14.1" customHeight="1">
      <c r="A236" s="819"/>
      <c r="B236" s="819"/>
      <c r="C236" s="819"/>
      <c r="D236" s="2093"/>
      <c r="E236" s="2093"/>
      <c r="F236" s="2093"/>
      <c r="G236" s="2093"/>
      <c r="H236" s="2093"/>
      <c r="I236" s="2093"/>
      <c r="J236" s="2093"/>
      <c r="K236" s="2093"/>
      <c r="L236" s="2093"/>
      <c r="M236" s="2093"/>
      <c r="N236" s="2093"/>
      <c r="O236" s="2093"/>
      <c r="P236" s="2093"/>
      <c r="Q236" s="2093"/>
      <c r="R236" s="2093"/>
      <c r="S236" s="2093"/>
      <c r="T236" s="2093"/>
      <c r="U236" s="2093"/>
      <c r="V236" s="2093"/>
      <c r="W236" s="2093"/>
      <c r="X236" s="2093"/>
      <c r="Y236" s="2093"/>
      <c r="Z236" s="2093"/>
      <c r="AA236" s="2093"/>
      <c r="AB236" s="2093"/>
      <c r="AC236" s="2093"/>
      <c r="AE236" s="819"/>
      <c r="AF236" s="819"/>
      <c r="AG236" s="819"/>
      <c r="AH236" s="819"/>
      <c r="AI236" s="819"/>
      <c r="AJ236" s="819"/>
      <c r="AK236" s="819"/>
      <c r="AL236" s="819"/>
      <c r="AM236" s="819"/>
      <c r="AN236" s="819"/>
      <c r="AO236" s="819"/>
      <c r="AP236" s="819"/>
      <c r="AQ236" s="819"/>
      <c r="AR236" s="819"/>
      <c r="AS236" s="819"/>
      <c r="AT236" s="819"/>
      <c r="AU236" s="819"/>
      <c r="AV236" s="819"/>
      <c r="AW236" s="819"/>
      <c r="AX236" s="819"/>
      <c r="AY236" s="819"/>
      <c r="AZ236" s="819"/>
      <c r="BA236" s="819"/>
    </row>
    <row r="237" spans="1:53" ht="14.1" customHeight="1">
      <c r="A237" s="819"/>
      <c r="B237" s="819"/>
      <c r="C237" s="819"/>
      <c r="D237" s="2093"/>
      <c r="E237" s="2093"/>
      <c r="F237" s="2093"/>
      <c r="G237" s="2093"/>
      <c r="H237" s="2093"/>
      <c r="I237" s="2093"/>
      <c r="J237" s="2093"/>
      <c r="K237" s="2093"/>
      <c r="L237" s="2093"/>
      <c r="M237" s="2093"/>
      <c r="N237" s="2093"/>
      <c r="O237" s="2093"/>
      <c r="P237" s="2093"/>
      <c r="Q237" s="2093"/>
      <c r="R237" s="2093"/>
      <c r="S237" s="2093"/>
      <c r="T237" s="2093"/>
      <c r="U237" s="2093"/>
      <c r="V237" s="2093"/>
      <c r="W237" s="2093"/>
      <c r="X237" s="2093"/>
      <c r="Y237" s="2093"/>
      <c r="Z237" s="2093"/>
      <c r="AA237" s="2093"/>
      <c r="AB237" s="2093"/>
      <c r="AC237" s="2093"/>
      <c r="AE237" s="819"/>
      <c r="AF237" s="819"/>
      <c r="AG237" s="819"/>
      <c r="AH237" s="819"/>
      <c r="AI237" s="819"/>
      <c r="AJ237" s="819"/>
      <c r="AK237" s="819"/>
      <c r="AL237" s="819"/>
      <c r="AM237" s="819"/>
      <c r="AN237" s="819"/>
      <c r="AO237" s="819"/>
      <c r="AP237" s="819"/>
      <c r="AQ237" s="819"/>
      <c r="AR237" s="819"/>
      <c r="AS237" s="819"/>
      <c r="AT237" s="819"/>
      <c r="AU237" s="819"/>
      <c r="AV237" s="819"/>
      <c r="AW237" s="819"/>
      <c r="AX237" s="819"/>
      <c r="AY237" s="819"/>
      <c r="AZ237" s="819"/>
      <c r="BA237" s="819"/>
    </row>
    <row r="238" spans="1:53" ht="14.1" customHeight="1">
      <c r="A238" s="819"/>
      <c r="B238" s="819"/>
      <c r="C238" s="819"/>
      <c r="D238" s="2093"/>
      <c r="E238" s="2093"/>
      <c r="F238" s="2093"/>
      <c r="G238" s="2093"/>
      <c r="H238" s="2093"/>
      <c r="I238" s="2093"/>
      <c r="J238" s="2093"/>
      <c r="K238" s="2093"/>
      <c r="L238" s="2093"/>
      <c r="M238" s="2093"/>
      <c r="N238" s="2093"/>
      <c r="O238" s="2093"/>
      <c r="P238" s="2093"/>
      <c r="Q238" s="2093"/>
      <c r="R238" s="2093"/>
      <c r="S238" s="2093"/>
      <c r="T238" s="2093"/>
      <c r="U238" s="2093"/>
      <c r="V238" s="2093"/>
      <c r="W238" s="2093"/>
      <c r="X238" s="2093"/>
      <c r="Y238" s="2093"/>
      <c r="Z238" s="2093"/>
      <c r="AA238" s="2093"/>
      <c r="AB238" s="2093"/>
      <c r="AC238" s="2093"/>
      <c r="AE238" s="819"/>
      <c r="AF238" s="819"/>
      <c r="AG238" s="819"/>
      <c r="AH238" s="819"/>
      <c r="AI238" s="819"/>
      <c r="AJ238" s="819"/>
      <c r="AK238" s="819"/>
      <c r="AL238" s="819"/>
      <c r="AM238" s="819"/>
      <c r="AN238" s="819"/>
      <c r="AO238" s="819"/>
      <c r="AP238" s="819"/>
      <c r="AQ238" s="819"/>
      <c r="AR238" s="819"/>
      <c r="AS238" s="819"/>
      <c r="AT238" s="819"/>
      <c r="AU238" s="819"/>
      <c r="AV238" s="819"/>
      <c r="AW238" s="819"/>
      <c r="AX238" s="819"/>
      <c r="AY238" s="819"/>
      <c r="AZ238" s="819"/>
      <c r="BA238" s="819"/>
    </row>
    <row r="239" spans="1:53" ht="13.5" customHeight="1" thickBot="1">
      <c r="B239" s="1323"/>
      <c r="C239" s="1323"/>
      <c r="D239" s="1331"/>
      <c r="E239" s="1331"/>
      <c r="F239" s="1331"/>
      <c r="G239" s="1331"/>
      <c r="H239" s="1331"/>
      <c r="I239" s="1331"/>
      <c r="J239" s="1331"/>
      <c r="K239" s="1331"/>
      <c r="L239" s="1331"/>
      <c r="M239" s="1331"/>
      <c r="N239" s="1331"/>
      <c r="O239" s="1331"/>
      <c r="P239" s="1331"/>
      <c r="Q239" s="1331"/>
      <c r="R239" s="1331"/>
      <c r="S239" s="1331"/>
      <c r="T239" s="1331"/>
      <c r="U239" s="1331"/>
      <c r="V239" s="1331"/>
      <c r="W239" s="1331"/>
      <c r="X239" s="1331"/>
      <c r="Y239" s="1331"/>
      <c r="Z239" s="1331"/>
      <c r="AA239" s="1331"/>
      <c r="AB239" s="1331"/>
      <c r="AC239" s="819"/>
      <c r="AE239" s="819"/>
      <c r="AF239" s="819"/>
      <c r="AG239" s="819"/>
      <c r="AH239" s="819"/>
      <c r="AI239" s="819"/>
      <c r="AJ239" s="819"/>
      <c r="AK239" s="819"/>
      <c r="AL239" s="819"/>
      <c r="AM239" s="819"/>
      <c r="AN239" s="819"/>
      <c r="AO239" s="819"/>
      <c r="AP239" s="819"/>
      <c r="AQ239" s="819"/>
      <c r="AR239" s="819"/>
      <c r="AS239" s="819"/>
      <c r="AT239" s="819"/>
      <c r="AU239" s="819"/>
      <c r="AV239" s="819"/>
      <c r="AW239" s="819"/>
      <c r="AX239" s="819"/>
      <c r="AY239" s="819"/>
      <c r="AZ239" s="819"/>
      <c r="BA239" s="819"/>
    </row>
    <row r="240" spans="1:53" ht="13.5" customHeight="1" thickTop="1">
      <c r="B240" s="819"/>
      <c r="C240" s="819"/>
      <c r="D240" s="1338"/>
      <c r="E240" s="1338"/>
      <c r="F240" s="1338"/>
      <c r="G240" s="1338"/>
      <c r="H240" s="1338"/>
      <c r="I240" s="1338"/>
      <c r="J240" s="1338"/>
      <c r="K240" s="1338"/>
      <c r="L240" s="1338"/>
      <c r="M240" s="1338"/>
      <c r="N240" s="1338"/>
      <c r="O240" s="1338"/>
      <c r="P240" s="1338"/>
      <c r="Q240" s="1338"/>
      <c r="R240" s="1338"/>
      <c r="S240" s="1338"/>
      <c r="T240" s="1338"/>
      <c r="U240" s="1338"/>
      <c r="V240" s="1338"/>
      <c r="W240" s="1338"/>
      <c r="X240" s="1338"/>
      <c r="Y240" s="1338"/>
      <c r="Z240" s="1338"/>
      <c r="AA240" s="1338"/>
      <c r="AB240" s="1338"/>
      <c r="AC240" s="819"/>
      <c r="AE240" s="819"/>
      <c r="AF240" s="819"/>
      <c r="AG240" s="819"/>
      <c r="AH240" s="819"/>
      <c r="AI240" s="819"/>
      <c r="AJ240" s="819"/>
      <c r="AK240" s="819"/>
      <c r="AL240" s="819"/>
      <c r="AM240" s="819"/>
      <c r="AN240" s="819"/>
      <c r="AO240" s="819"/>
      <c r="AP240" s="819"/>
      <c r="AQ240" s="819"/>
      <c r="AR240" s="819"/>
      <c r="AS240" s="819"/>
      <c r="AT240" s="819"/>
      <c r="AU240" s="819"/>
      <c r="AV240" s="819"/>
      <c r="AW240" s="819"/>
      <c r="AX240" s="819"/>
      <c r="AY240" s="819"/>
      <c r="AZ240" s="819"/>
      <c r="BA240" s="819"/>
    </row>
    <row r="241" spans="2:53" ht="13.5" customHeight="1">
      <c r="B241" s="2107" t="s">
        <v>1504</v>
      </c>
      <c r="C241" s="2107"/>
      <c r="D241" s="2107"/>
      <c r="E241" s="2107"/>
      <c r="F241" s="2107"/>
      <c r="G241" s="2107"/>
      <c r="H241" s="2107"/>
      <c r="I241" s="2107"/>
      <c r="J241" s="2107"/>
      <c r="K241" s="2107"/>
      <c r="L241" s="2107"/>
      <c r="M241" s="2107"/>
      <c r="N241" s="2107"/>
      <c r="O241" s="2107"/>
      <c r="P241" s="2107"/>
      <c r="Q241" s="2107"/>
      <c r="R241" s="2107"/>
      <c r="S241" s="2107"/>
      <c r="T241" s="2107"/>
      <c r="U241" s="2107"/>
      <c r="V241" s="2107"/>
      <c r="W241" s="2107"/>
      <c r="X241" s="2107"/>
      <c r="Y241" s="2107"/>
      <c r="Z241" s="2107"/>
      <c r="AA241" s="2107"/>
      <c r="AB241" s="1338"/>
      <c r="AC241" s="819"/>
      <c r="AE241" s="819"/>
      <c r="AF241" s="819"/>
      <c r="AG241" s="819"/>
      <c r="AH241" s="819"/>
      <c r="AI241" s="819"/>
      <c r="AJ241" s="819"/>
      <c r="AK241" s="819"/>
      <c r="AL241" s="819"/>
      <c r="AM241" s="819"/>
      <c r="AN241" s="819"/>
      <c r="AO241" s="819"/>
      <c r="AP241" s="819"/>
      <c r="AQ241" s="819"/>
      <c r="AR241" s="819"/>
      <c r="AS241" s="819"/>
      <c r="AT241" s="819"/>
      <c r="AU241" s="819"/>
      <c r="AV241" s="819"/>
      <c r="AW241" s="819"/>
      <c r="AX241" s="819"/>
      <c r="AY241" s="819"/>
      <c r="AZ241" s="819"/>
      <c r="BA241" s="819"/>
    </row>
    <row r="242" spans="2:53" ht="13.5" customHeight="1">
      <c r="B242" s="2107"/>
      <c r="C242" s="2107"/>
      <c r="D242" s="2107"/>
      <c r="E242" s="2107"/>
      <c r="F242" s="2107"/>
      <c r="G242" s="2107"/>
      <c r="H242" s="2107"/>
      <c r="I242" s="2107"/>
      <c r="J242" s="2107"/>
      <c r="K242" s="2107"/>
      <c r="L242" s="2107"/>
      <c r="M242" s="2107"/>
      <c r="N242" s="2107"/>
      <c r="O242" s="2107"/>
      <c r="P242" s="2107"/>
      <c r="Q242" s="2107"/>
      <c r="R242" s="2107"/>
      <c r="S242" s="2107"/>
      <c r="T242" s="2107"/>
      <c r="U242" s="2107"/>
      <c r="V242" s="2107"/>
      <c r="W242" s="2107"/>
      <c r="X242" s="2107"/>
      <c r="Y242" s="2107"/>
      <c r="Z242" s="2107"/>
      <c r="AA242" s="2107"/>
      <c r="AB242" s="1338"/>
      <c r="AC242" s="819"/>
      <c r="AE242" s="819"/>
      <c r="AF242" s="819"/>
      <c r="AG242" s="819"/>
      <c r="AH242" s="819"/>
      <c r="AI242" s="819"/>
      <c r="AJ242" s="819"/>
      <c r="AK242" s="819"/>
      <c r="AL242" s="819"/>
      <c r="AM242" s="819"/>
      <c r="AN242" s="819"/>
      <c r="AO242" s="819"/>
      <c r="AP242" s="819"/>
      <c r="AQ242" s="819"/>
      <c r="AR242" s="819"/>
      <c r="AS242" s="819"/>
      <c r="AT242" s="819"/>
      <c r="AU242" s="819"/>
      <c r="AV242" s="819"/>
      <c r="AW242" s="819"/>
      <c r="AX242" s="819"/>
      <c r="AY242" s="819"/>
      <c r="AZ242" s="819"/>
      <c r="BA242" s="819"/>
    </row>
    <row r="243" spans="2:53" ht="13.5" customHeight="1">
      <c r="B243" s="796"/>
      <c r="C243" s="796"/>
      <c r="D243" s="796"/>
      <c r="E243" s="796"/>
      <c r="F243" s="796"/>
      <c r="G243" s="2120" t="s">
        <v>276</v>
      </c>
      <c r="H243" s="2120"/>
      <c r="I243" s="2120"/>
      <c r="J243" s="2120"/>
      <c r="K243" s="796"/>
      <c r="L243" s="796"/>
      <c r="M243" s="796"/>
      <c r="N243" s="796"/>
      <c r="O243" s="796"/>
      <c r="P243" s="796"/>
      <c r="Q243" s="796"/>
      <c r="R243" s="796"/>
      <c r="S243" s="796"/>
      <c r="T243" s="796"/>
      <c r="U243" s="796"/>
      <c r="V243" s="796"/>
      <c r="W243" s="796"/>
      <c r="X243" s="796"/>
      <c r="Y243" s="796"/>
      <c r="Z243" s="796"/>
      <c r="AA243" s="1338"/>
      <c r="AB243" s="1338"/>
      <c r="AC243" s="819"/>
      <c r="AE243" s="819"/>
      <c r="AF243" s="819"/>
      <c r="AG243" s="819"/>
      <c r="AH243" s="819"/>
      <c r="AI243" s="819"/>
      <c r="AJ243" s="819"/>
      <c r="AK243" s="819"/>
      <c r="AL243" s="819"/>
      <c r="AM243" s="819"/>
      <c r="AN243" s="819"/>
      <c r="AO243" s="819"/>
      <c r="AP243" s="819"/>
      <c r="AQ243" s="819"/>
      <c r="AR243" s="819"/>
      <c r="AS243" s="819"/>
      <c r="AT243" s="819"/>
      <c r="AU243" s="819"/>
      <c r="AV243" s="819"/>
      <c r="AW243" s="819"/>
      <c r="AX243" s="819"/>
      <c r="AY243" s="819"/>
      <c r="AZ243" s="819"/>
      <c r="BA243" s="819"/>
    </row>
    <row r="244" spans="2:53" ht="13.5" customHeight="1">
      <c r="B244" s="796"/>
      <c r="C244" s="796"/>
      <c r="D244" s="796"/>
      <c r="E244" s="796"/>
      <c r="F244" s="796"/>
      <c r="G244" s="796"/>
      <c r="H244" s="2106" t="s">
        <v>1505</v>
      </c>
      <c r="I244" s="2106"/>
      <c r="J244" s="796"/>
      <c r="K244" s="796"/>
      <c r="L244" s="796"/>
      <c r="M244" s="796"/>
      <c r="N244" s="796"/>
      <c r="O244" s="796"/>
      <c r="P244" s="796"/>
      <c r="Q244" s="796"/>
      <c r="R244" s="796"/>
      <c r="S244" s="796"/>
      <c r="T244" s="796"/>
      <c r="U244" s="796"/>
      <c r="V244" s="796"/>
      <c r="W244" s="796"/>
      <c r="X244" s="796"/>
      <c r="Y244" s="796"/>
      <c r="Z244" s="796"/>
      <c r="AA244" s="1338"/>
      <c r="AB244" s="1338"/>
      <c r="AC244" s="819"/>
      <c r="AE244" s="819"/>
      <c r="AF244" s="819"/>
      <c r="AG244" s="819"/>
      <c r="AH244" s="819"/>
      <c r="AI244" s="819"/>
      <c r="AJ244" s="819"/>
      <c r="AK244" s="819"/>
      <c r="AL244" s="819"/>
      <c r="AM244" s="819"/>
      <c r="AN244" s="819"/>
      <c r="AO244" s="819"/>
      <c r="AP244" s="819"/>
      <c r="AQ244" s="819"/>
      <c r="AR244" s="819"/>
      <c r="AS244" s="819"/>
      <c r="AT244" s="819"/>
      <c r="AU244" s="819"/>
      <c r="AV244" s="819"/>
      <c r="AW244" s="819"/>
      <c r="AX244" s="819"/>
      <c r="AY244" s="819"/>
      <c r="AZ244" s="819"/>
      <c r="BA244" s="819"/>
    </row>
    <row r="245" spans="2:53" ht="13.5" customHeight="1">
      <c r="B245" s="796"/>
      <c r="C245" s="796"/>
      <c r="D245" s="796"/>
      <c r="E245" s="796"/>
      <c r="F245" s="796"/>
      <c r="G245" s="796"/>
      <c r="H245" s="2103" t="s">
        <v>349</v>
      </c>
      <c r="I245" s="2103"/>
      <c r="J245" s="796"/>
      <c r="K245" s="796"/>
      <c r="L245" s="2120" t="s">
        <v>277</v>
      </c>
      <c r="M245" s="2120"/>
      <c r="N245" s="2120"/>
      <c r="O245" s="2120"/>
      <c r="P245" s="796"/>
      <c r="Q245" s="813"/>
      <c r="R245" s="813"/>
      <c r="S245" s="796"/>
      <c r="T245" s="796"/>
      <c r="U245" s="796"/>
      <c r="V245" s="796"/>
      <c r="W245" s="796"/>
      <c r="X245" s="796"/>
      <c r="Y245" s="796"/>
      <c r="Z245" s="796"/>
      <c r="AA245" s="1338"/>
      <c r="AB245" s="1338"/>
      <c r="AC245" s="819"/>
      <c r="AE245" s="819"/>
      <c r="AF245" s="819"/>
      <c r="AG245" s="819"/>
      <c r="AH245" s="819"/>
      <c r="AI245" s="819"/>
      <c r="AJ245" s="819"/>
      <c r="AK245" s="819"/>
      <c r="AL245" s="819"/>
      <c r="AM245" s="819"/>
      <c r="AN245" s="819"/>
      <c r="AO245" s="819"/>
      <c r="AP245" s="819"/>
      <c r="AQ245" s="819"/>
      <c r="AR245" s="819"/>
      <c r="AS245" s="819"/>
      <c r="AT245" s="819"/>
      <c r="AU245" s="819"/>
      <c r="AV245" s="819"/>
      <c r="AW245" s="819"/>
      <c r="AX245" s="819"/>
      <c r="AY245" s="819"/>
      <c r="AZ245" s="819"/>
      <c r="BA245" s="819"/>
    </row>
    <row r="246" spans="2:53" ht="13.5" customHeight="1">
      <c r="B246" s="796"/>
      <c r="C246" s="796"/>
      <c r="D246" s="796"/>
      <c r="E246" s="796"/>
      <c r="F246" s="796"/>
      <c r="G246" s="796"/>
      <c r="H246" s="2103"/>
      <c r="I246" s="2103"/>
      <c r="J246" s="796"/>
      <c r="K246" s="796"/>
      <c r="L246" s="796"/>
      <c r="M246" s="811" t="s">
        <v>1506</v>
      </c>
      <c r="N246" s="796"/>
      <c r="O246" s="796"/>
      <c r="P246" s="796"/>
      <c r="Q246" s="813"/>
      <c r="R246" s="813"/>
      <c r="S246" s="796"/>
      <c r="T246" s="796"/>
      <c r="U246" s="796"/>
      <c r="V246" s="796"/>
      <c r="W246" s="796"/>
      <c r="X246" s="796"/>
      <c r="Y246" s="796"/>
      <c r="Z246" s="796"/>
      <c r="AA246" s="1338"/>
      <c r="AB246" s="1338"/>
      <c r="AC246" s="819"/>
      <c r="AE246" s="819"/>
      <c r="AF246" s="819"/>
      <c r="AG246" s="819"/>
      <c r="AH246" s="819"/>
      <c r="AI246" s="819"/>
      <c r="AJ246" s="819"/>
      <c r="AK246" s="819"/>
      <c r="AL246" s="819"/>
      <c r="AM246" s="819"/>
      <c r="AN246" s="819"/>
      <c r="AO246" s="819"/>
      <c r="AP246" s="819"/>
      <c r="AQ246" s="819"/>
      <c r="AR246" s="819"/>
      <c r="AS246" s="819"/>
      <c r="AT246" s="819"/>
      <c r="AU246" s="819"/>
      <c r="AV246" s="819"/>
      <c r="AW246" s="819"/>
      <c r="AX246" s="819"/>
      <c r="AY246" s="819"/>
      <c r="AZ246" s="819"/>
      <c r="BA246" s="819"/>
    </row>
    <row r="247" spans="2:53" ht="13.5" customHeight="1">
      <c r="B247" s="814"/>
      <c r="C247" s="814"/>
      <c r="D247" s="814"/>
      <c r="E247" s="796"/>
      <c r="F247" s="796"/>
      <c r="G247" s="796"/>
      <c r="H247" s="810"/>
      <c r="I247" s="811"/>
      <c r="J247" s="796"/>
      <c r="K247" s="796"/>
      <c r="L247" s="796"/>
      <c r="M247" s="810"/>
      <c r="N247" s="811"/>
      <c r="O247" s="796"/>
      <c r="P247" s="796"/>
      <c r="Q247" s="811"/>
      <c r="R247" s="796"/>
      <c r="S247" s="796"/>
      <c r="T247" s="796"/>
      <c r="U247" s="796"/>
      <c r="V247" s="796"/>
      <c r="W247" s="796"/>
      <c r="X247" s="796"/>
      <c r="Y247" s="796"/>
      <c r="Z247" s="796"/>
      <c r="AA247" s="1338"/>
      <c r="AB247" s="1338"/>
      <c r="AC247" s="819"/>
      <c r="AE247" s="819"/>
      <c r="AF247" s="819"/>
      <c r="AG247" s="819"/>
      <c r="AH247" s="819"/>
      <c r="AI247" s="819"/>
      <c r="AJ247" s="819"/>
      <c r="AK247" s="819"/>
      <c r="AL247" s="819"/>
      <c r="AM247" s="819"/>
      <c r="AN247" s="819"/>
      <c r="AO247" s="819"/>
      <c r="AP247" s="819"/>
      <c r="AQ247" s="819"/>
      <c r="AR247" s="819"/>
      <c r="AS247" s="819"/>
      <c r="AT247" s="819"/>
      <c r="AU247" s="819"/>
      <c r="AV247" s="819"/>
      <c r="AW247" s="819"/>
      <c r="AX247" s="819"/>
      <c r="AY247" s="819"/>
      <c r="AZ247" s="819"/>
      <c r="BA247" s="819"/>
    </row>
    <row r="248" spans="2:53" ht="13.5" customHeight="1">
      <c r="B248" s="814"/>
      <c r="C248" s="814"/>
      <c r="D248" s="814"/>
      <c r="E248" s="796"/>
      <c r="F248" s="796"/>
      <c r="G248" s="796"/>
      <c r="H248" s="812"/>
      <c r="I248" s="815"/>
      <c r="J248" s="796"/>
      <c r="K248" s="796"/>
      <c r="L248" s="796"/>
      <c r="M248" s="812"/>
      <c r="N248" s="815"/>
      <c r="O248" s="796"/>
      <c r="P248" s="796"/>
      <c r="Q248" s="815"/>
      <c r="R248" s="815"/>
      <c r="S248" s="796"/>
      <c r="T248" s="796"/>
      <c r="U248" s="796"/>
      <c r="V248" s="796"/>
      <c r="W248" s="796"/>
      <c r="X248" s="796"/>
      <c r="Y248" s="796"/>
      <c r="Z248" s="796"/>
      <c r="AA248" s="1338"/>
      <c r="AB248" s="1338"/>
      <c r="AC248" s="819"/>
      <c r="AE248" s="819"/>
      <c r="AF248" s="819"/>
      <c r="AG248" s="819"/>
      <c r="AH248" s="819"/>
      <c r="AI248" s="819"/>
      <c r="AJ248" s="819"/>
      <c r="AK248" s="819"/>
      <c r="AL248" s="819"/>
      <c r="AM248" s="819"/>
      <c r="AN248" s="819"/>
      <c r="AO248" s="819"/>
      <c r="AP248" s="819"/>
      <c r="AQ248" s="819"/>
      <c r="AR248" s="819"/>
      <c r="AS248" s="819"/>
      <c r="AT248" s="819"/>
      <c r="AU248" s="819"/>
      <c r="AV248" s="819"/>
      <c r="AW248" s="819"/>
      <c r="AX248" s="819"/>
      <c r="AY248" s="819"/>
      <c r="AZ248" s="819"/>
      <c r="BA248" s="819"/>
    </row>
    <row r="249" spans="2:53" ht="13.5" customHeight="1">
      <c r="B249" s="814"/>
      <c r="C249" s="814"/>
      <c r="D249" s="814"/>
      <c r="E249" s="796"/>
      <c r="F249" s="796" t="s">
        <v>1498</v>
      </c>
      <c r="G249" s="796"/>
      <c r="H249" s="815"/>
      <c r="I249" s="815"/>
      <c r="J249" s="796"/>
      <c r="K249" s="796"/>
      <c r="L249" s="796"/>
      <c r="M249" s="815"/>
      <c r="N249" s="815"/>
      <c r="O249" s="796"/>
      <c r="P249" s="796"/>
      <c r="Q249" s="815"/>
      <c r="R249" s="815"/>
      <c r="S249" s="796"/>
      <c r="T249" s="796"/>
      <c r="U249" s="796"/>
      <c r="V249" s="796"/>
      <c r="W249" s="796"/>
      <c r="X249" s="796"/>
      <c r="Y249" s="796"/>
      <c r="Z249" s="796"/>
      <c r="AA249" s="1338"/>
      <c r="AB249" s="1338"/>
      <c r="AC249" s="819"/>
      <c r="AE249" s="819"/>
      <c r="AF249" s="819"/>
      <c r="AG249" s="819"/>
      <c r="AH249" s="819"/>
      <c r="AI249" s="819"/>
      <c r="AJ249" s="819"/>
      <c r="AK249" s="819"/>
      <c r="AL249" s="819"/>
      <c r="AM249" s="819"/>
      <c r="AN249" s="819"/>
      <c r="AO249" s="819"/>
      <c r="AP249" s="819"/>
      <c r="AQ249" s="819"/>
      <c r="AR249" s="819"/>
      <c r="AS249" s="819"/>
      <c r="AT249" s="819"/>
      <c r="AU249" s="819"/>
      <c r="AV249" s="819"/>
      <c r="AW249" s="819"/>
      <c r="AX249" s="819"/>
      <c r="AY249" s="819"/>
      <c r="AZ249" s="819"/>
      <c r="BA249" s="819"/>
    </row>
    <row r="250" spans="2:53" ht="13.5" customHeight="1">
      <c r="B250" s="814"/>
      <c r="C250" s="814"/>
      <c r="D250" s="814"/>
      <c r="E250" s="796"/>
      <c r="F250" s="796"/>
      <c r="G250" s="796"/>
      <c r="H250" s="815"/>
      <c r="I250" s="815"/>
      <c r="J250" s="796"/>
      <c r="K250" s="796"/>
      <c r="L250" s="796"/>
      <c r="M250" s="815"/>
      <c r="N250" s="815"/>
      <c r="O250" s="796"/>
      <c r="P250" s="796"/>
      <c r="Q250" s="815"/>
      <c r="R250" s="815"/>
      <c r="S250" s="796"/>
      <c r="T250" s="796"/>
      <c r="U250" s="796"/>
      <c r="V250" s="796"/>
      <c r="W250" s="796"/>
      <c r="X250" s="796"/>
      <c r="Y250" s="796"/>
      <c r="Z250" s="796"/>
      <c r="AA250" s="1338"/>
      <c r="AB250" s="1338"/>
      <c r="AC250" s="819"/>
      <c r="AE250" s="819"/>
      <c r="AF250" s="819"/>
      <c r="AG250" s="819"/>
      <c r="AH250" s="819"/>
      <c r="AI250" s="819"/>
      <c r="AJ250" s="819"/>
      <c r="AK250" s="819"/>
      <c r="AL250" s="819"/>
      <c r="AM250" s="819"/>
      <c r="AN250" s="819"/>
      <c r="AO250" s="819"/>
      <c r="AP250" s="819"/>
      <c r="AQ250" s="819"/>
      <c r="AR250" s="819"/>
      <c r="AS250" s="819"/>
      <c r="AT250" s="819"/>
      <c r="AU250" s="819"/>
      <c r="AV250" s="819"/>
      <c r="AW250" s="819"/>
      <c r="AX250" s="819"/>
      <c r="AY250" s="819"/>
      <c r="AZ250" s="819"/>
      <c r="BA250" s="819"/>
    </row>
    <row r="251" spans="2:53" ht="13.5" customHeight="1">
      <c r="B251" s="814"/>
      <c r="C251" s="814"/>
      <c r="D251" s="814"/>
      <c r="E251" s="796"/>
      <c r="F251" s="796"/>
      <c r="G251" s="796"/>
      <c r="H251" s="796"/>
      <c r="I251" s="796"/>
      <c r="J251" s="796"/>
      <c r="K251" s="796"/>
      <c r="L251" s="796"/>
      <c r="M251" s="796"/>
      <c r="N251" s="796"/>
      <c r="O251" s="796"/>
      <c r="P251" s="796"/>
      <c r="Q251" s="796"/>
      <c r="R251" s="796"/>
      <c r="S251" s="796"/>
      <c r="T251" s="796"/>
      <c r="U251" s="796"/>
      <c r="V251" s="796"/>
      <c r="W251" s="796"/>
      <c r="X251" s="796"/>
      <c r="Y251" s="796"/>
      <c r="Z251" s="796"/>
      <c r="AA251" s="1338"/>
      <c r="AB251" s="1338"/>
      <c r="AC251" s="819"/>
      <c r="AE251" s="819"/>
      <c r="AF251" s="819"/>
      <c r="AG251" s="819"/>
      <c r="AH251" s="819"/>
      <c r="AI251" s="819"/>
      <c r="AJ251" s="819"/>
      <c r="AK251" s="819"/>
      <c r="AL251" s="819"/>
      <c r="AM251" s="819"/>
      <c r="AN251" s="819"/>
      <c r="AO251" s="819"/>
      <c r="AP251" s="819"/>
      <c r="AQ251" s="819"/>
      <c r="AR251" s="819"/>
      <c r="AS251" s="819"/>
      <c r="AT251" s="819"/>
      <c r="AU251" s="819"/>
      <c r="AV251" s="819"/>
      <c r="AW251" s="819"/>
      <c r="AX251" s="819"/>
      <c r="AY251" s="819"/>
      <c r="AZ251" s="819"/>
      <c r="BA251" s="819"/>
    </row>
    <row r="252" spans="2:53" ht="13.5" customHeight="1">
      <c r="B252" s="814"/>
      <c r="C252" s="814"/>
      <c r="D252" s="814"/>
      <c r="E252" s="796"/>
      <c r="F252" s="796"/>
      <c r="G252" s="796"/>
      <c r="H252" s="801"/>
      <c r="I252" s="796"/>
      <c r="J252" s="796"/>
      <c r="K252" s="796"/>
      <c r="L252" s="796"/>
      <c r="M252" s="801"/>
      <c r="N252" s="796"/>
      <c r="O252" s="796"/>
      <c r="P252" s="796"/>
      <c r="Q252" s="796"/>
      <c r="R252" s="796"/>
      <c r="S252" s="796"/>
      <c r="T252" s="796"/>
      <c r="U252" s="796"/>
      <c r="V252" s="796"/>
      <c r="W252" s="796"/>
      <c r="X252" s="796"/>
      <c r="Y252" s="796"/>
      <c r="Z252" s="796"/>
      <c r="AA252" s="1338"/>
      <c r="AB252" s="1338"/>
      <c r="AC252" s="819"/>
      <c r="AE252" s="819"/>
      <c r="AF252" s="819"/>
      <c r="AG252" s="819"/>
      <c r="AH252" s="819"/>
      <c r="AI252" s="819"/>
      <c r="AJ252" s="819"/>
      <c r="AK252" s="819"/>
      <c r="AL252" s="819"/>
      <c r="AM252" s="819"/>
      <c r="AN252" s="819"/>
      <c r="AO252" s="819"/>
      <c r="AP252" s="819"/>
      <c r="AQ252" s="819"/>
      <c r="AR252" s="819"/>
      <c r="AS252" s="819"/>
      <c r="AT252" s="819"/>
      <c r="AU252" s="819"/>
      <c r="AV252" s="819"/>
      <c r="AW252" s="819"/>
      <c r="AX252" s="819"/>
      <c r="AY252" s="819"/>
      <c r="AZ252" s="819"/>
      <c r="BA252" s="819"/>
    </row>
    <row r="253" spans="2:53" ht="13.5" customHeight="1" thickBot="1">
      <c r="B253" s="814"/>
      <c r="C253" s="814"/>
      <c r="D253" s="814"/>
      <c r="E253" s="2106" t="s">
        <v>1494</v>
      </c>
      <c r="F253" s="2106"/>
      <c r="G253" s="2106"/>
      <c r="H253" s="801"/>
      <c r="I253" s="796"/>
      <c r="J253" s="796"/>
      <c r="K253" s="796"/>
      <c r="L253" s="796"/>
      <c r="M253" s="796"/>
      <c r="N253" s="816"/>
      <c r="O253" s="796"/>
      <c r="P253" s="796"/>
      <c r="Q253" s="796"/>
      <c r="R253" s="796"/>
      <c r="S253" s="796"/>
      <c r="T253" s="796"/>
      <c r="U253" s="796"/>
      <c r="V253" s="796"/>
      <c r="W253" s="796"/>
      <c r="X253" s="796"/>
      <c r="Y253" s="796"/>
      <c r="Z253" s="796"/>
      <c r="AA253" s="1338"/>
      <c r="AB253" s="1338"/>
      <c r="AC253" s="819"/>
      <c r="AE253" s="819"/>
      <c r="AF253" s="819"/>
      <c r="AG253" s="819"/>
      <c r="AH253" s="819"/>
      <c r="AI253" s="819"/>
      <c r="AJ253" s="819"/>
      <c r="AK253" s="819"/>
      <c r="AL253" s="819"/>
      <c r="AM253" s="819"/>
      <c r="AN253" s="819"/>
      <c r="AO253" s="819"/>
      <c r="AP253" s="819"/>
      <c r="AQ253" s="819"/>
      <c r="AR253" s="819"/>
      <c r="AS253" s="819"/>
      <c r="AT253" s="819"/>
      <c r="AU253" s="819"/>
      <c r="AV253" s="819"/>
      <c r="AW253" s="819"/>
      <c r="AX253" s="819"/>
      <c r="AY253" s="819"/>
      <c r="AZ253" s="819"/>
      <c r="BA253" s="819"/>
    </row>
    <row r="254" spans="2:53" ht="13.5" customHeight="1" thickTop="1" thickBot="1">
      <c r="B254" s="814"/>
      <c r="C254" s="796"/>
      <c r="D254" s="796"/>
      <c r="E254" s="802"/>
      <c r="F254" s="2017" t="s">
        <v>69</v>
      </c>
      <c r="G254" s="803"/>
      <c r="H254" s="804"/>
      <c r="I254" s="805"/>
      <c r="J254" s="802"/>
      <c r="K254" s="2022" t="s">
        <v>1473</v>
      </c>
      <c r="L254" s="802"/>
      <c r="M254" s="804"/>
      <c r="N254" s="805"/>
      <c r="O254" s="802"/>
      <c r="P254" s="2108" t="s">
        <v>1475</v>
      </c>
      <c r="Q254" s="805"/>
      <c r="R254" s="811"/>
      <c r="S254" s="814"/>
      <c r="T254" s="796"/>
      <c r="U254" s="796"/>
      <c r="V254" s="796"/>
      <c r="W254" s="796"/>
      <c r="X254" s="2120"/>
      <c r="Y254" s="796"/>
      <c r="Z254" s="796"/>
      <c r="AA254" s="1338"/>
      <c r="AB254" s="1338"/>
      <c r="AC254" s="819"/>
      <c r="AE254" s="819"/>
      <c r="AF254" s="819"/>
      <c r="AG254" s="819"/>
      <c r="AH254" s="819"/>
      <c r="AI254" s="819"/>
      <c r="AJ254" s="819"/>
      <c r="AK254" s="819"/>
      <c r="AL254" s="819"/>
      <c r="AM254" s="819"/>
      <c r="AN254" s="819"/>
      <c r="AO254" s="819"/>
      <c r="AP254" s="819"/>
      <c r="AQ254" s="819"/>
      <c r="AR254" s="819"/>
      <c r="AS254" s="819"/>
      <c r="AT254" s="819"/>
      <c r="AU254" s="819"/>
      <c r="AV254" s="819"/>
      <c r="AW254" s="819"/>
      <c r="AX254" s="819"/>
      <c r="AY254" s="819"/>
      <c r="AZ254" s="819"/>
      <c r="BA254" s="819"/>
    </row>
    <row r="255" spans="2:53" ht="13.5" customHeight="1" thickTop="1" thickBot="1">
      <c r="B255" s="814"/>
      <c r="C255" s="796"/>
      <c r="D255" s="796"/>
      <c r="E255" s="806"/>
      <c r="F255" s="2018"/>
      <c r="G255" s="796"/>
      <c r="H255" s="796"/>
      <c r="I255" s="796"/>
      <c r="J255" s="796"/>
      <c r="K255" s="2023"/>
      <c r="L255" s="796"/>
      <c r="M255" s="796"/>
      <c r="N255" s="796"/>
      <c r="O255" s="796"/>
      <c r="P255" s="2109"/>
      <c r="Q255" s="796"/>
      <c r="R255" s="816"/>
      <c r="S255" s="796"/>
      <c r="T255" s="796"/>
      <c r="U255" s="796"/>
      <c r="V255" s="796"/>
      <c r="W255" s="796"/>
      <c r="X255" s="2120"/>
      <c r="Y255" s="796"/>
      <c r="Z255" s="796"/>
      <c r="AA255" s="1338"/>
      <c r="AB255" s="1338"/>
      <c r="AC255" s="819"/>
      <c r="AE255" s="819"/>
      <c r="AF255" s="819"/>
      <c r="AG255" s="819"/>
      <c r="AH255" s="819"/>
      <c r="AI255" s="819"/>
      <c r="AJ255" s="819"/>
      <c r="AK255" s="819"/>
      <c r="AL255" s="819"/>
      <c r="AM255" s="819"/>
      <c r="AN255" s="819"/>
      <c r="AO255" s="819"/>
      <c r="AP255" s="819"/>
      <c r="AQ255" s="819"/>
      <c r="AR255" s="819"/>
      <c r="AS255" s="819"/>
      <c r="AT255" s="819"/>
      <c r="AU255" s="819"/>
      <c r="AV255" s="819"/>
      <c r="AW255" s="819"/>
      <c r="AX255" s="819"/>
      <c r="AY255" s="819"/>
      <c r="AZ255" s="819"/>
      <c r="BA255" s="819"/>
    </row>
    <row r="256" spans="2:53" ht="13.5" customHeight="1" thickTop="1" thickBot="1">
      <c r="B256" s="814"/>
      <c r="C256" s="2114" t="s">
        <v>334</v>
      </c>
      <c r="D256" s="2118"/>
      <c r="E256" s="814"/>
      <c r="F256" s="814"/>
      <c r="G256" s="796"/>
      <c r="H256" s="796"/>
      <c r="I256" s="796"/>
      <c r="J256" s="796"/>
      <c r="K256" s="796"/>
      <c r="L256" s="796"/>
      <c r="M256" s="796"/>
      <c r="N256" s="796"/>
      <c r="O256" s="796"/>
      <c r="P256" s="796"/>
      <c r="Q256" s="796"/>
      <c r="R256" s="2116" t="s">
        <v>341</v>
      </c>
      <c r="S256" s="2117"/>
      <c r="T256" s="796"/>
      <c r="U256" s="796"/>
      <c r="V256" s="796"/>
      <c r="W256" s="796"/>
      <c r="X256" s="796"/>
      <c r="Y256" s="2115"/>
      <c r="Z256" s="2115"/>
      <c r="AA256" s="1338"/>
      <c r="AB256" s="1338"/>
      <c r="AC256" s="819"/>
      <c r="AE256" s="819"/>
      <c r="AF256" s="819"/>
      <c r="AG256" s="819"/>
      <c r="AH256" s="819"/>
      <c r="AI256" s="819"/>
      <c r="AJ256" s="819"/>
      <c r="AK256" s="819"/>
      <c r="AL256" s="819"/>
      <c r="AM256" s="819"/>
      <c r="AN256" s="819"/>
      <c r="AO256" s="819"/>
      <c r="AP256" s="819"/>
      <c r="AQ256" s="819"/>
      <c r="AR256" s="819"/>
      <c r="AS256" s="819"/>
      <c r="AT256" s="819"/>
      <c r="AU256" s="819"/>
      <c r="AV256" s="819"/>
      <c r="AW256" s="819"/>
      <c r="AX256" s="819"/>
      <c r="AY256" s="819"/>
      <c r="AZ256" s="819"/>
      <c r="BA256" s="819"/>
    </row>
    <row r="257" spans="1:53" ht="13.5" customHeight="1" thickTop="1" thickBot="1">
      <c r="B257" s="796"/>
      <c r="C257" s="807"/>
      <c r="D257" s="792"/>
      <c r="E257" s="796"/>
      <c r="F257" s="796"/>
      <c r="G257" s="796"/>
      <c r="H257" s="796"/>
      <c r="I257" s="796"/>
      <c r="J257" s="796"/>
      <c r="K257" s="796"/>
      <c r="L257" s="796"/>
      <c r="M257" s="796"/>
      <c r="N257" s="796"/>
      <c r="O257" s="796"/>
      <c r="P257" s="796"/>
      <c r="Q257" s="796"/>
      <c r="R257" s="2121"/>
      <c r="S257" s="2122"/>
      <c r="T257" s="796"/>
      <c r="U257" s="796"/>
      <c r="V257" s="796"/>
      <c r="W257" s="796"/>
      <c r="X257" s="796"/>
      <c r="Y257" s="796"/>
      <c r="Z257" s="796"/>
      <c r="AA257" s="1338"/>
      <c r="AB257" s="1338"/>
      <c r="AC257" s="819"/>
      <c r="AE257" s="819"/>
      <c r="AF257" s="819"/>
      <c r="AG257" s="819"/>
      <c r="AH257" s="819"/>
      <c r="AI257" s="819"/>
      <c r="AJ257" s="819"/>
      <c r="AK257" s="819"/>
      <c r="AL257" s="819"/>
      <c r="AM257" s="819"/>
      <c r="AN257" s="819"/>
      <c r="AO257" s="819"/>
      <c r="AP257" s="819"/>
      <c r="AQ257" s="819"/>
      <c r="AR257" s="819"/>
      <c r="AS257" s="819"/>
      <c r="AT257" s="819"/>
      <c r="AU257" s="819"/>
      <c r="AV257" s="819"/>
      <c r="AW257" s="819"/>
      <c r="AX257" s="819"/>
      <c r="AY257" s="819"/>
      <c r="AZ257" s="819"/>
      <c r="BA257" s="819"/>
    </row>
    <row r="258" spans="1:53" ht="13.5" customHeight="1" thickTop="1" thickBot="1">
      <c r="B258" s="794"/>
      <c r="C258" s="796"/>
      <c r="D258" s="801"/>
      <c r="E258" s="808"/>
      <c r="F258" s="2022" t="s">
        <v>1481</v>
      </c>
      <c r="G258" s="809"/>
      <c r="H258" s="809"/>
      <c r="I258" s="809"/>
      <c r="J258" s="809"/>
      <c r="K258" s="2108" t="s">
        <v>1479</v>
      </c>
      <c r="L258" s="809"/>
      <c r="M258" s="809"/>
      <c r="N258" s="809"/>
      <c r="O258" s="809"/>
      <c r="P258" s="2108" t="s">
        <v>1478</v>
      </c>
      <c r="Q258" s="809"/>
      <c r="R258" s="2123"/>
      <c r="S258" s="2112"/>
      <c r="T258" s="796"/>
      <c r="U258" s="796"/>
      <c r="V258" s="796"/>
      <c r="W258" s="796"/>
      <c r="X258" s="2120"/>
      <c r="Y258" s="796"/>
      <c r="Z258" s="796"/>
      <c r="AA258" s="1338"/>
      <c r="AB258" s="1338"/>
      <c r="AC258" s="819"/>
      <c r="AE258" s="819"/>
      <c r="AF258" s="819"/>
      <c r="AG258" s="819"/>
      <c r="AH258" s="819"/>
      <c r="AI258" s="819"/>
      <c r="AJ258" s="819"/>
      <c r="AK258" s="819"/>
      <c r="AL258" s="819"/>
      <c r="AM258" s="819"/>
      <c r="AN258" s="819"/>
      <c r="AO258" s="819"/>
      <c r="AP258" s="819"/>
      <c r="AQ258" s="819"/>
      <c r="AR258" s="819"/>
      <c r="AS258" s="819"/>
      <c r="AT258" s="819"/>
      <c r="AU258" s="819"/>
      <c r="AV258" s="819"/>
      <c r="AW258" s="819"/>
      <c r="AX258" s="819"/>
      <c r="AY258" s="819"/>
      <c r="AZ258" s="819"/>
      <c r="BA258" s="819"/>
    </row>
    <row r="259" spans="1:53" ht="13.5" customHeight="1" thickTop="1" thickBot="1">
      <c r="B259" s="796"/>
      <c r="C259" s="796"/>
      <c r="D259" s="796"/>
      <c r="E259" s="796"/>
      <c r="F259" s="2023"/>
      <c r="G259" s="796"/>
      <c r="H259" s="801"/>
      <c r="I259" s="796"/>
      <c r="J259" s="796"/>
      <c r="K259" s="2109"/>
      <c r="L259" s="796"/>
      <c r="M259" s="801"/>
      <c r="N259" s="796"/>
      <c r="O259" s="796"/>
      <c r="P259" s="2109"/>
      <c r="Q259" s="796"/>
      <c r="R259" s="796"/>
      <c r="S259" s="796"/>
      <c r="T259" s="796"/>
      <c r="U259" s="796"/>
      <c r="V259" s="796"/>
      <c r="W259" s="796"/>
      <c r="X259" s="2120"/>
      <c r="Y259" s="796"/>
      <c r="Z259" s="796"/>
      <c r="AA259" s="1338"/>
      <c r="AB259" s="1338"/>
      <c r="AC259" s="819"/>
      <c r="AE259" s="819"/>
      <c r="AF259" s="819"/>
      <c r="AG259" s="819"/>
      <c r="AH259" s="819"/>
      <c r="AI259" s="819"/>
      <c r="AJ259" s="819"/>
      <c r="AK259" s="819"/>
      <c r="AL259" s="819"/>
      <c r="AM259" s="819"/>
      <c r="AN259" s="819"/>
      <c r="AO259" s="819"/>
      <c r="AP259" s="819"/>
      <c r="AQ259" s="819"/>
      <c r="AR259" s="819"/>
      <c r="AS259" s="819"/>
      <c r="AT259" s="819"/>
      <c r="AU259" s="819"/>
      <c r="AV259" s="819"/>
      <c r="AW259" s="819"/>
      <c r="AX259" s="819"/>
      <c r="AY259" s="819"/>
      <c r="AZ259" s="819"/>
      <c r="BA259" s="819"/>
    </row>
    <row r="260" spans="1:53" ht="14.1" customHeight="1">
      <c r="A260" s="819"/>
      <c r="B260" s="796"/>
      <c r="C260" s="796"/>
      <c r="D260" s="796"/>
      <c r="E260" s="796"/>
      <c r="F260" s="796"/>
      <c r="G260" s="796"/>
      <c r="H260" s="801"/>
      <c r="I260" s="796"/>
      <c r="J260" s="796"/>
      <c r="K260" s="796"/>
      <c r="L260" s="796"/>
      <c r="M260" s="801"/>
      <c r="N260" s="796"/>
      <c r="O260" s="796"/>
      <c r="P260" s="796"/>
      <c r="Q260" s="796"/>
      <c r="R260" s="796"/>
      <c r="S260" s="796"/>
      <c r="T260" s="796"/>
      <c r="U260" s="796"/>
      <c r="V260" s="796"/>
      <c r="W260" s="796"/>
      <c r="X260" s="796"/>
      <c r="Y260" s="796"/>
      <c r="Z260" s="796"/>
      <c r="AA260" s="1342"/>
      <c r="AB260" s="1401"/>
      <c r="AC260" s="819"/>
      <c r="AE260" s="819"/>
      <c r="AF260" s="819"/>
      <c r="AG260" s="819"/>
      <c r="AH260" s="819"/>
      <c r="AI260" s="819"/>
      <c r="AJ260" s="819"/>
      <c r="AK260" s="819"/>
      <c r="AL260" s="819"/>
      <c r="AM260" s="819"/>
      <c r="AN260" s="819"/>
      <c r="AO260" s="819"/>
      <c r="AP260" s="819"/>
      <c r="AQ260" s="819"/>
      <c r="AR260" s="819"/>
      <c r="AS260" s="819"/>
      <c r="AT260" s="819"/>
      <c r="AU260" s="819"/>
      <c r="AV260" s="819"/>
      <c r="AW260" s="819"/>
      <c r="AX260" s="819"/>
      <c r="AY260" s="819"/>
      <c r="AZ260" s="819"/>
      <c r="BA260" s="819"/>
    </row>
    <row r="261" spans="1:53" ht="14.1" customHeight="1">
      <c r="A261" s="819"/>
      <c r="B261" s="796"/>
      <c r="C261" s="796"/>
      <c r="D261" s="796"/>
      <c r="E261" s="796"/>
      <c r="F261" s="796"/>
      <c r="G261" s="796"/>
      <c r="H261" s="810"/>
      <c r="I261" s="811"/>
      <c r="J261" s="796"/>
      <c r="K261" s="796"/>
      <c r="L261" s="796"/>
      <c r="M261" s="810"/>
      <c r="N261" s="811"/>
      <c r="O261" s="796"/>
      <c r="P261" s="796"/>
      <c r="Q261" s="811"/>
      <c r="R261" s="811"/>
      <c r="S261" s="796"/>
      <c r="T261" s="796"/>
      <c r="U261" s="796"/>
      <c r="V261" s="796"/>
      <c r="W261" s="796"/>
      <c r="X261" s="796"/>
      <c r="Y261" s="796"/>
      <c r="Z261" s="796"/>
      <c r="AA261" s="1342"/>
      <c r="AB261" s="1401"/>
      <c r="AC261" s="819"/>
      <c r="AE261" s="819"/>
      <c r="AF261" s="819"/>
      <c r="AG261" s="819"/>
      <c r="AH261" s="819"/>
      <c r="AI261" s="819"/>
      <c r="AJ261" s="819"/>
      <c r="AK261" s="819"/>
      <c r="AL261" s="819"/>
      <c r="AM261" s="819"/>
      <c r="AN261" s="819"/>
      <c r="AO261" s="819"/>
      <c r="AP261" s="819"/>
      <c r="AQ261" s="819"/>
      <c r="AR261" s="819"/>
      <c r="AS261" s="819"/>
      <c r="AT261" s="819"/>
      <c r="AU261" s="819"/>
      <c r="AV261" s="819"/>
      <c r="AW261" s="819"/>
      <c r="AX261" s="819"/>
      <c r="AY261" s="819"/>
      <c r="AZ261" s="819"/>
      <c r="BA261" s="819"/>
    </row>
    <row r="262" spans="1:53" ht="14.1" customHeight="1">
      <c r="A262" s="819"/>
      <c r="B262" s="813"/>
      <c r="C262" s="813"/>
      <c r="D262" s="796"/>
      <c r="E262" s="796"/>
      <c r="F262" s="796"/>
      <c r="G262" s="2115" t="s">
        <v>1480</v>
      </c>
      <c r="H262" s="2115"/>
      <c r="I262" s="2115"/>
      <c r="J262" s="796"/>
      <c r="K262" s="796"/>
      <c r="L262" s="796"/>
      <c r="M262" s="2115" t="s">
        <v>338</v>
      </c>
      <c r="N262" s="2115"/>
      <c r="O262" s="796"/>
      <c r="P262" s="796"/>
      <c r="Q262" s="2115"/>
      <c r="R262" s="2115"/>
      <c r="S262" s="796"/>
      <c r="T262" s="796"/>
      <c r="U262" s="796"/>
      <c r="V262" s="796"/>
      <c r="W262" s="796"/>
      <c r="X262" s="796"/>
      <c r="Y262" s="796"/>
      <c r="Z262" s="796"/>
      <c r="AA262" s="1342"/>
      <c r="AB262" s="1401"/>
      <c r="AC262" s="819"/>
      <c r="AE262" s="819"/>
      <c r="AF262" s="819"/>
      <c r="AG262" s="819"/>
      <c r="AH262" s="819"/>
      <c r="AI262" s="819"/>
      <c r="AJ262" s="819"/>
      <c r="AK262" s="819"/>
      <c r="AL262" s="819"/>
      <c r="AM262" s="819"/>
      <c r="AN262" s="819"/>
      <c r="AO262" s="819"/>
      <c r="AP262" s="819"/>
      <c r="AQ262" s="819"/>
      <c r="AR262" s="819"/>
      <c r="AS262" s="819"/>
      <c r="AT262" s="819"/>
      <c r="AU262" s="819"/>
      <c r="AV262" s="819"/>
      <c r="AW262" s="819"/>
      <c r="AX262" s="819"/>
      <c r="AY262" s="819"/>
      <c r="AZ262" s="819"/>
      <c r="BA262" s="819"/>
    </row>
    <row r="263" spans="1:53" ht="14.1" customHeight="1">
      <c r="A263" s="819"/>
      <c r="B263" s="819"/>
      <c r="C263" s="819"/>
      <c r="D263" s="1342"/>
      <c r="E263" s="1342"/>
      <c r="F263" s="1342"/>
      <c r="G263" s="1342"/>
      <c r="H263" s="1342"/>
      <c r="I263" s="1342"/>
      <c r="J263" s="1342"/>
      <c r="K263" s="1342"/>
      <c r="L263" s="1342"/>
      <c r="M263" s="1342"/>
      <c r="N263" s="1342"/>
      <c r="O263" s="1342"/>
      <c r="P263" s="1342"/>
      <c r="Q263" s="1342"/>
      <c r="R263" s="1342"/>
      <c r="S263" s="1342"/>
      <c r="T263" s="1342"/>
      <c r="U263" s="1342"/>
      <c r="V263" s="1342"/>
      <c r="W263" s="1342"/>
      <c r="X263" s="1342"/>
      <c r="Y263" s="1342"/>
      <c r="Z263" s="1342"/>
      <c r="AA263" s="1342"/>
      <c r="AB263" s="1401"/>
      <c r="AC263" s="819"/>
      <c r="AE263" s="819"/>
      <c r="AF263" s="819"/>
      <c r="AG263" s="819"/>
      <c r="AH263" s="819"/>
      <c r="AI263" s="819"/>
      <c r="AJ263" s="819"/>
      <c r="AK263" s="819"/>
      <c r="AL263" s="819"/>
      <c r="AM263" s="819"/>
      <c r="AN263" s="819"/>
      <c r="AO263" s="819"/>
      <c r="AP263" s="819"/>
      <c r="AQ263" s="819"/>
      <c r="AR263" s="819"/>
      <c r="AS263" s="819"/>
      <c r="AT263" s="819"/>
      <c r="AU263" s="819"/>
      <c r="AV263" s="819"/>
      <c r="AW263" s="819"/>
      <c r="AX263" s="819"/>
      <c r="AY263" s="819"/>
      <c r="AZ263" s="819"/>
      <c r="BA263" s="819"/>
    </row>
    <row r="264" spans="1:53" ht="14.1" customHeight="1">
      <c r="A264" s="819"/>
      <c r="B264" s="819"/>
      <c r="C264" s="2124" t="s">
        <v>1495</v>
      </c>
      <c r="D264" s="2124"/>
      <c r="E264" s="2124"/>
      <c r="F264" s="2124"/>
      <c r="G264" s="2124"/>
      <c r="H264" s="2124"/>
      <c r="I264" s="2124"/>
      <c r="J264" s="2124"/>
      <c r="K264" s="1342"/>
      <c r="L264" s="1342"/>
      <c r="M264" s="1342"/>
      <c r="N264" s="1342"/>
      <c r="O264" s="1342"/>
      <c r="P264" s="1342"/>
      <c r="Q264" s="1342"/>
      <c r="R264" s="1342"/>
      <c r="S264" s="1342"/>
      <c r="T264" s="1342"/>
      <c r="U264" s="1342"/>
      <c r="V264" s="1342"/>
      <c r="W264" s="1342"/>
      <c r="X264" s="1342"/>
      <c r="Y264" s="1342"/>
      <c r="Z264" s="1342"/>
      <c r="AA264" s="1342"/>
      <c r="AB264" s="1401"/>
      <c r="AC264" s="819"/>
      <c r="AE264" s="819"/>
      <c r="AF264" s="819"/>
      <c r="AG264" s="819"/>
      <c r="AH264" s="819"/>
      <c r="AI264" s="819"/>
      <c r="AJ264" s="819"/>
      <c r="AK264" s="819"/>
      <c r="AL264" s="819"/>
      <c r="AM264" s="819"/>
      <c r="AN264" s="819"/>
      <c r="AO264" s="819"/>
      <c r="AP264" s="819"/>
      <c r="AQ264" s="819"/>
      <c r="AR264" s="819"/>
      <c r="AS264" s="819"/>
      <c r="AT264" s="819"/>
      <c r="AU264" s="819"/>
      <c r="AV264" s="819"/>
      <c r="AW264" s="819"/>
      <c r="AX264" s="819"/>
      <c r="AY264" s="819"/>
      <c r="AZ264" s="819"/>
      <c r="BA264" s="819"/>
    </row>
    <row r="265" spans="1:53" ht="14.1" customHeight="1">
      <c r="A265" s="819"/>
      <c r="B265" s="819"/>
      <c r="C265" s="2093" t="s">
        <v>1507</v>
      </c>
      <c r="D265" s="2125"/>
      <c r="E265" s="2125"/>
      <c r="F265" s="2125"/>
      <c r="G265" s="2125"/>
      <c r="H265" s="2125"/>
      <c r="I265" s="2125"/>
      <c r="J265" s="2125"/>
      <c r="K265" s="2125"/>
      <c r="L265" s="2125"/>
      <c r="M265" s="2125"/>
      <c r="N265" s="2125"/>
      <c r="O265" s="2125"/>
      <c r="P265" s="2125"/>
      <c r="Q265" s="2125"/>
      <c r="R265" s="2125"/>
      <c r="S265" s="2125"/>
      <c r="T265" s="2125"/>
      <c r="U265" s="2125"/>
      <c r="V265" s="2125"/>
      <c r="W265" s="2125"/>
      <c r="X265" s="2125"/>
      <c r="Y265" s="2125"/>
      <c r="Z265" s="2125"/>
      <c r="AA265" s="2125"/>
      <c r="AB265" s="2125"/>
      <c r="AC265" s="2125"/>
      <c r="AE265" s="819"/>
      <c r="AF265" s="819"/>
      <c r="AG265" s="819"/>
      <c r="AH265" s="819"/>
      <c r="AI265" s="819"/>
      <c r="AJ265" s="819"/>
      <c r="AK265" s="819"/>
      <c r="AL265" s="819"/>
      <c r="AM265" s="819"/>
      <c r="AN265" s="819"/>
      <c r="AO265" s="819"/>
      <c r="AP265" s="819"/>
      <c r="AQ265" s="819"/>
      <c r="AR265" s="819"/>
      <c r="AS265" s="819"/>
      <c r="AT265" s="819"/>
      <c r="AU265" s="819"/>
      <c r="AV265" s="819"/>
      <c r="AW265" s="819"/>
      <c r="AX265" s="819"/>
      <c r="AY265" s="819"/>
      <c r="AZ265" s="819"/>
      <c r="BA265" s="819"/>
    </row>
    <row r="266" spans="1:53" ht="14.1" customHeight="1">
      <c r="A266" s="819"/>
      <c r="B266" s="819"/>
      <c r="C266" s="2125"/>
      <c r="D266" s="2125"/>
      <c r="E266" s="2125"/>
      <c r="F266" s="2125"/>
      <c r="G266" s="2125"/>
      <c r="H266" s="2125"/>
      <c r="I266" s="2125"/>
      <c r="J266" s="2125"/>
      <c r="K266" s="2125"/>
      <c r="L266" s="2125"/>
      <c r="M266" s="2125"/>
      <c r="N266" s="2125"/>
      <c r="O266" s="2125"/>
      <c r="P266" s="2125"/>
      <c r="Q266" s="2125"/>
      <c r="R266" s="2125"/>
      <c r="S266" s="2125"/>
      <c r="T266" s="2125"/>
      <c r="U266" s="2125"/>
      <c r="V266" s="2125"/>
      <c r="W266" s="2125"/>
      <c r="X266" s="2125"/>
      <c r="Y266" s="2125"/>
      <c r="Z266" s="2125"/>
      <c r="AA266" s="2125"/>
      <c r="AB266" s="2125"/>
      <c r="AC266" s="2125"/>
      <c r="AE266" s="819"/>
      <c r="AF266" s="819"/>
      <c r="AG266" s="819"/>
      <c r="AH266" s="819"/>
      <c r="AI266" s="819"/>
      <c r="AJ266" s="819"/>
      <c r="AK266" s="819"/>
      <c r="AL266" s="819"/>
      <c r="AM266" s="819"/>
      <c r="AN266" s="819"/>
      <c r="AO266" s="819"/>
      <c r="AP266" s="819"/>
      <c r="AQ266" s="819"/>
      <c r="AR266" s="819"/>
      <c r="AS266" s="819"/>
      <c r="AT266" s="819"/>
      <c r="AU266" s="819"/>
      <c r="AV266" s="819"/>
      <c r="AW266" s="819"/>
      <c r="AX266" s="819"/>
      <c r="AY266" s="819"/>
      <c r="AZ266" s="819"/>
      <c r="BA266" s="819"/>
    </row>
    <row r="267" spans="1:53" ht="14.1" customHeight="1">
      <c r="A267" s="819"/>
      <c r="B267" s="819"/>
      <c r="C267" s="2125"/>
      <c r="D267" s="2125"/>
      <c r="E267" s="2125"/>
      <c r="F267" s="2125"/>
      <c r="G267" s="2125"/>
      <c r="H267" s="2125"/>
      <c r="I267" s="2125"/>
      <c r="J267" s="2125"/>
      <c r="K267" s="2125"/>
      <c r="L267" s="2125"/>
      <c r="M267" s="2125"/>
      <c r="N267" s="2125"/>
      <c r="O267" s="2125"/>
      <c r="P267" s="2125"/>
      <c r="Q267" s="2125"/>
      <c r="R267" s="2125"/>
      <c r="S267" s="2125"/>
      <c r="T267" s="2125"/>
      <c r="U267" s="2125"/>
      <c r="V267" s="2125"/>
      <c r="W267" s="2125"/>
      <c r="X267" s="2125"/>
      <c r="Y267" s="2125"/>
      <c r="Z267" s="2125"/>
      <c r="AA267" s="2125"/>
      <c r="AB267" s="2125"/>
      <c r="AC267" s="2125"/>
      <c r="AE267" s="819"/>
      <c r="AF267" s="819"/>
      <c r="AG267" s="819"/>
      <c r="AH267" s="819"/>
      <c r="AI267" s="819"/>
      <c r="AJ267" s="819"/>
      <c r="AK267" s="819"/>
      <c r="AL267" s="819"/>
      <c r="AM267" s="819"/>
      <c r="AN267" s="819"/>
      <c r="AO267" s="819"/>
      <c r="AP267" s="819"/>
      <c r="AQ267" s="819"/>
      <c r="AR267" s="819"/>
      <c r="AS267" s="819"/>
      <c r="AT267" s="819"/>
      <c r="AU267" s="819"/>
      <c r="AV267" s="819"/>
      <c r="AW267" s="819"/>
      <c r="AX267" s="819"/>
      <c r="AY267" s="819"/>
      <c r="AZ267" s="819"/>
      <c r="BA267" s="819"/>
    </row>
    <row r="268" spans="1:53" ht="14.1" customHeight="1">
      <c r="A268" s="819"/>
      <c r="B268" s="819"/>
      <c r="C268" s="2125"/>
      <c r="D268" s="2125"/>
      <c r="E268" s="2125"/>
      <c r="F268" s="2125"/>
      <c r="G268" s="2125"/>
      <c r="H268" s="2125"/>
      <c r="I268" s="2125"/>
      <c r="J268" s="2125"/>
      <c r="K268" s="2125"/>
      <c r="L268" s="2125"/>
      <c r="M268" s="2125"/>
      <c r="N268" s="2125"/>
      <c r="O268" s="2125"/>
      <c r="P268" s="2125"/>
      <c r="Q268" s="2125"/>
      <c r="R268" s="2125"/>
      <c r="S268" s="2125"/>
      <c r="T268" s="2125"/>
      <c r="U268" s="2125"/>
      <c r="V268" s="2125"/>
      <c r="W268" s="2125"/>
      <c r="X268" s="2125"/>
      <c r="Y268" s="2125"/>
      <c r="Z268" s="2125"/>
      <c r="AA268" s="2125"/>
      <c r="AB268" s="2125"/>
      <c r="AC268" s="2125"/>
      <c r="AE268" s="819"/>
      <c r="AF268" s="819"/>
      <c r="AG268" s="819"/>
      <c r="AH268" s="819"/>
      <c r="AI268" s="819"/>
      <c r="AJ268" s="819"/>
      <c r="AK268" s="819"/>
      <c r="AL268" s="819"/>
      <c r="AM268" s="819"/>
      <c r="AN268" s="819"/>
      <c r="AO268" s="819"/>
      <c r="AP268" s="819"/>
      <c r="AQ268" s="819"/>
      <c r="AR268" s="819"/>
      <c r="AS268" s="819"/>
      <c r="AT268" s="819"/>
      <c r="AU268" s="819"/>
      <c r="AV268" s="819"/>
      <c r="AW268" s="819"/>
      <c r="AX268" s="819"/>
      <c r="AY268" s="819"/>
      <c r="AZ268" s="819"/>
      <c r="BA268" s="819"/>
    </row>
    <row r="269" spans="1:53" ht="14.1" customHeight="1">
      <c r="A269" s="819"/>
      <c r="B269" s="819"/>
      <c r="C269" s="2125"/>
      <c r="D269" s="2125"/>
      <c r="E269" s="2125"/>
      <c r="F269" s="2125"/>
      <c r="G269" s="2125"/>
      <c r="H269" s="2125"/>
      <c r="I269" s="2125"/>
      <c r="J269" s="2125"/>
      <c r="K269" s="2125"/>
      <c r="L269" s="2125"/>
      <c r="M269" s="2125"/>
      <c r="N269" s="2125"/>
      <c r="O269" s="2125"/>
      <c r="P269" s="2125"/>
      <c r="Q269" s="2125"/>
      <c r="R269" s="2125"/>
      <c r="S269" s="2125"/>
      <c r="T269" s="2125"/>
      <c r="U269" s="2125"/>
      <c r="V269" s="2125"/>
      <c r="W269" s="2125"/>
      <c r="X269" s="2125"/>
      <c r="Y269" s="2125"/>
      <c r="Z269" s="2125"/>
      <c r="AA269" s="2125"/>
      <c r="AB269" s="2125"/>
      <c r="AC269" s="2125"/>
      <c r="AE269" s="819"/>
      <c r="AF269" s="819"/>
      <c r="AG269" s="819"/>
      <c r="AH269" s="819"/>
      <c r="AI269" s="819"/>
      <c r="AJ269" s="819"/>
      <c r="AK269" s="819"/>
      <c r="AL269" s="819"/>
      <c r="AM269" s="819"/>
      <c r="AN269" s="819"/>
      <c r="AO269" s="819"/>
      <c r="AP269" s="819"/>
      <c r="AQ269" s="819"/>
      <c r="AR269" s="819"/>
      <c r="AS269" s="819"/>
      <c r="AT269" s="819"/>
      <c r="AU269" s="819"/>
      <c r="AV269" s="819"/>
      <c r="AW269" s="819"/>
      <c r="AX269" s="819"/>
      <c r="AY269" s="819"/>
      <c r="AZ269" s="819"/>
      <c r="BA269" s="819"/>
    </row>
    <row r="270" spans="1:53" ht="13.5" customHeight="1" thickBot="1">
      <c r="B270" s="1323"/>
      <c r="C270" s="1323"/>
      <c r="D270" s="1331"/>
      <c r="E270" s="1331"/>
      <c r="F270" s="1331"/>
      <c r="G270" s="1331"/>
      <c r="H270" s="1331"/>
      <c r="I270" s="1331"/>
      <c r="J270" s="1331"/>
      <c r="K270" s="1331"/>
      <c r="L270" s="1331"/>
      <c r="M270" s="1331"/>
      <c r="N270" s="1331"/>
      <c r="O270" s="1331"/>
      <c r="P270" s="1331"/>
      <c r="Q270" s="1331"/>
      <c r="R270" s="1331"/>
      <c r="S270" s="1331"/>
      <c r="T270" s="1331"/>
      <c r="U270" s="1331"/>
      <c r="V270" s="1331"/>
      <c r="W270" s="1331"/>
      <c r="X270" s="1331"/>
      <c r="Y270" s="1331"/>
      <c r="Z270" s="1331"/>
      <c r="AA270" s="1331"/>
      <c r="AB270" s="1331"/>
      <c r="AC270" s="819"/>
      <c r="AE270" s="819"/>
      <c r="AF270" s="819"/>
      <c r="AG270" s="819"/>
      <c r="AH270" s="819"/>
      <c r="AI270" s="819"/>
      <c r="AJ270" s="819"/>
      <c r="AK270" s="819"/>
      <c r="AL270" s="819"/>
      <c r="AM270" s="819"/>
      <c r="AN270" s="819"/>
      <c r="AO270" s="819"/>
      <c r="AP270" s="819"/>
      <c r="AQ270" s="819"/>
      <c r="AR270" s="819"/>
      <c r="AS270" s="819"/>
      <c r="AT270" s="819"/>
      <c r="AU270" s="819"/>
      <c r="AV270" s="819"/>
      <c r="AW270" s="819"/>
      <c r="AX270" s="819"/>
      <c r="AY270" s="819"/>
      <c r="AZ270" s="819"/>
      <c r="BA270" s="819"/>
    </row>
    <row r="271" spans="1:53" ht="13.5" customHeight="1" thickTop="1">
      <c r="B271" s="796"/>
      <c r="C271" s="796"/>
      <c r="D271" s="797"/>
      <c r="E271" s="797"/>
      <c r="F271" s="797"/>
      <c r="G271" s="797"/>
      <c r="H271" s="797"/>
      <c r="I271" s="797"/>
      <c r="J271" s="797"/>
      <c r="K271" s="797"/>
      <c r="L271" s="797"/>
      <c r="M271" s="797"/>
      <c r="N271" s="797"/>
      <c r="O271" s="797"/>
      <c r="P271" s="797"/>
      <c r="Q271" s="797"/>
      <c r="R271" s="797"/>
      <c r="S271" s="797"/>
      <c r="T271" s="797"/>
      <c r="U271" s="797"/>
      <c r="V271" s="1338"/>
      <c r="W271" s="1338"/>
      <c r="X271" s="1338"/>
      <c r="Y271" s="1338"/>
      <c r="Z271" s="1338"/>
      <c r="AA271" s="1338"/>
      <c r="AB271" s="1338"/>
      <c r="AC271" s="819"/>
      <c r="AE271" s="819"/>
      <c r="AF271" s="819"/>
      <c r="AG271" s="819"/>
      <c r="AH271" s="819"/>
      <c r="AI271" s="819"/>
      <c r="AJ271" s="819"/>
      <c r="AK271" s="819"/>
      <c r="AL271" s="819"/>
      <c r="AM271" s="819"/>
      <c r="AN271" s="819"/>
      <c r="AO271" s="819"/>
      <c r="AP271" s="819"/>
      <c r="AQ271" s="819"/>
      <c r="AR271" s="819"/>
      <c r="AS271" s="819"/>
      <c r="AT271" s="819"/>
      <c r="AU271" s="819"/>
      <c r="AV271" s="819"/>
      <c r="AW271" s="819"/>
      <c r="AX271" s="819"/>
      <c r="AY271" s="819"/>
      <c r="AZ271" s="819"/>
      <c r="BA271" s="819"/>
    </row>
    <row r="272" spans="1:53" ht="13.5" customHeight="1">
      <c r="B272" s="796"/>
      <c r="C272" s="796"/>
      <c r="D272" s="797"/>
      <c r="E272" s="797"/>
      <c r="F272" s="797"/>
      <c r="G272" s="2112" t="s">
        <v>276</v>
      </c>
      <c r="H272" s="2112"/>
      <c r="I272" s="2112"/>
      <c r="J272" s="2112"/>
      <c r="K272" s="797"/>
      <c r="L272" s="2112" t="s">
        <v>277</v>
      </c>
      <c r="M272" s="2112"/>
      <c r="N272" s="2112"/>
      <c r="O272" s="2112"/>
      <c r="P272" s="797"/>
      <c r="Q272" s="797"/>
      <c r="R272" s="797"/>
      <c r="S272" s="797"/>
      <c r="T272" s="797"/>
      <c r="U272" s="797"/>
      <c r="V272" s="1338"/>
      <c r="W272" s="1338"/>
      <c r="X272" s="1338"/>
      <c r="Y272" s="1338"/>
      <c r="Z272" s="1338"/>
      <c r="AA272" s="1338"/>
      <c r="AB272" s="1338"/>
      <c r="AC272" s="819"/>
      <c r="AE272" s="819"/>
      <c r="AF272" s="819"/>
      <c r="AG272" s="819"/>
      <c r="AH272" s="819"/>
      <c r="AI272" s="819"/>
      <c r="AJ272" s="819"/>
      <c r="AK272" s="819"/>
      <c r="AL272" s="819"/>
      <c r="AM272" s="819"/>
      <c r="AN272" s="819"/>
      <c r="AO272" s="819"/>
      <c r="AP272" s="819"/>
      <c r="AQ272" s="819"/>
      <c r="AR272" s="819"/>
      <c r="AS272" s="819"/>
      <c r="AT272" s="819"/>
      <c r="AU272" s="819"/>
      <c r="AV272" s="819"/>
      <c r="AW272" s="819"/>
      <c r="AX272" s="819"/>
      <c r="AY272" s="819"/>
      <c r="AZ272" s="819"/>
      <c r="BA272" s="819"/>
    </row>
    <row r="273" spans="1:53" ht="13.5" customHeight="1">
      <c r="B273" s="796"/>
      <c r="C273" s="796"/>
      <c r="D273" s="796"/>
      <c r="E273" s="796"/>
      <c r="F273" s="796"/>
      <c r="G273" s="796"/>
      <c r="H273" s="798" t="s">
        <v>1497</v>
      </c>
      <c r="I273" s="798"/>
      <c r="J273" s="796"/>
      <c r="K273" s="796"/>
      <c r="L273" s="798"/>
      <c r="M273" s="798" t="s">
        <v>1497</v>
      </c>
      <c r="N273" s="798"/>
      <c r="O273" s="798"/>
      <c r="P273" s="796"/>
      <c r="Q273" s="796"/>
      <c r="R273" s="796"/>
      <c r="S273" s="796"/>
      <c r="T273" s="796"/>
      <c r="U273" s="796"/>
      <c r="V273" s="1338"/>
      <c r="W273" s="1338"/>
      <c r="X273" s="1338"/>
      <c r="Y273" s="1338"/>
      <c r="Z273" s="1338"/>
      <c r="AA273" s="1338"/>
      <c r="AB273" s="1338"/>
      <c r="AC273" s="819"/>
      <c r="AE273" s="819"/>
      <c r="AF273" s="819"/>
      <c r="AG273" s="819"/>
      <c r="AH273" s="819"/>
      <c r="AI273" s="819"/>
      <c r="AJ273" s="819"/>
      <c r="AK273" s="819"/>
      <c r="AL273" s="819"/>
      <c r="AM273" s="819"/>
      <c r="AN273" s="819"/>
      <c r="AO273" s="819"/>
      <c r="AP273" s="819"/>
      <c r="AQ273" s="819"/>
      <c r="AR273" s="819"/>
      <c r="AS273" s="819"/>
      <c r="AT273" s="819"/>
      <c r="AU273" s="819"/>
      <c r="AV273" s="819"/>
      <c r="AW273" s="819"/>
      <c r="AX273" s="819"/>
      <c r="AY273" s="819"/>
      <c r="AZ273" s="819"/>
      <c r="BA273" s="819"/>
    </row>
    <row r="274" spans="1:53" ht="13.5" customHeight="1">
      <c r="B274" s="796"/>
      <c r="C274" s="814"/>
      <c r="D274" s="814"/>
      <c r="E274" s="796"/>
      <c r="F274" s="796"/>
      <c r="G274" s="796"/>
      <c r="H274" s="810"/>
      <c r="I274" s="811"/>
      <c r="J274" s="796"/>
      <c r="K274" s="796"/>
      <c r="L274" s="796"/>
      <c r="M274" s="810"/>
      <c r="N274" s="811"/>
      <c r="O274" s="796"/>
      <c r="P274" s="796"/>
      <c r="Q274" s="811"/>
      <c r="R274" s="811"/>
      <c r="S274" s="796"/>
      <c r="T274" s="796"/>
      <c r="U274" s="796"/>
      <c r="V274" s="1338"/>
      <c r="W274" s="1338"/>
      <c r="X274" s="1338"/>
      <c r="Y274" s="1338"/>
      <c r="Z274" s="1338"/>
      <c r="AA274" s="1338"/>
      <c r="AB274" s="1338"/>
      <c r="AC274" s="819"/>
      <c r="AE274" s="819"/>
      <c r="AF274" s="819"/>
      <c r="AG274" s="819"/>
      <c r="AH274" s="819"/>
      <c r="AI274" s="819"/>
      <c r="AJ274" s="819"/>
      <c r="AK274" s="819"/>
      <c r="AL274" s="819"/>
      <c r="AM274" s="819"/>
      <c r="AN274" s="819"/>
      <c r="AO274" s="819"/>
      <c r="AP274" s="819"/>
      <c r="AQ274" s="819"/>
      <c r="AR274" s="819"/>
      <c r="AS274" s="819"/>
      <c r="AT274" s="819"/>
      <c r="AU274" s="819"/>
      <c r="AV274" s="819"/>
      <c r="AW274" s="819"/>
      <c r="AX274" s="819"/>
      <c r="AY274" s="819"/>
      <c r="AZ274" s="819"/>
      <c r="BA274" s="819"/>
    </row>
    <row r="275" spans="1:53" ht="13.5" customHeight="1">
      <c r="B275" s="796"/>
      <c r="C275" s="814"/>
      <c r="D275" s="814"/>
      <c r="E275" s="796"/>
      <c r="F275" s="796"/>
      <c r="G275" s="796"/>
      <c r="H275" s="812"/>
      <c r="I275" s="815"/>
      <c r="J275" s="796"/>
      <c r="K275" s="796"/>
      <c r="L275" s="796"/>
      <c r="M275" s="812"/>
      <c r="N275" s="815"/>
      <c r="O275" s="796"/>
      <c r="P275" s="796"/>
      <c r="Q275" s="815"/>
      <c r="R275" s="815"/>
      <c r="S275" s="796"/>
      <c r="T275" s="796"/>
      <c r="U275" s="796"/>
      <c r="V275" s="1338"/>
      <c r="W275" s="1338"/>
      <c r="X275" s="1338"/>
      <c r="Y275" s="1338"/>
      <c r="Z275" s="1338"/>
      <c r="AA275" s="1338"/>
      <c r="AB275" s="1338"/>
      <c r="AC275" s="819"/>
      <c r="AE275" s="819"/>
      <c r="AF275" s="819"/>
      <c r="AG275" s="819"/>
      <c r="AH275" s="819"/>
      <c r="AI275" s="819"/>
      <c r="AJ275" s="819"/>
      <c r="AK275" s="819"/>
      <c r="AL275" s="819"/>
      <c r="AM275" s="819"/>
      <c r="AN275" s="819"/>
      <c r="AO275" s="819"/>
      <c r="AP275" s="819"/>
      <c r="AQ275" s="819"/>
      <c r="AR275" s="819"/>
      <c r="AS275" s="819"/>
      <c r="AT275" s="819"/>
      <c r="AU275" s="819"/>
      <c r="AV275" s="819"/>
      <c r="AW275" s="819"/>
      <c r="AX275" s="819"/>
      <c r="AY275" s="819"/>
      <c r="AZ275" s="819"/>
      <c r="BA275" s="819"/>
    </row>
    <row r="276" spans="1:53" ht="13.5" customHeight="1">
      <c r="B276" s="796"/>
      <c r="C276" s="814"/>
      <c r="D276" s="814"/>
      <c r="E276" s="796"/>
      <c r="F276" s="796" t="s">
        <v>1498</v>
      </c>
      <c r="G276" s="796"/>
      <c r="H276" s="815"/>
      <c r="I276" s="815"/>
      <c r="J276" s="796"/>
      <c r="K276" s="796"/>
      <c r="L276" s="796"/>
      <c r="M276" s="815"/>
      <c r="N276" s="815"/>
      <c r="O276" s="796"/>
      <c r="P276" s="796"/>
      <c r="Q276" s="815"/>
      <c r="R276" s="815"/>
      <c r="S276" s="796"/>
      <c r="T276" s="796"/>
      <c r="U276" s="796"/>
      <c r="V276" s="1338"/>
      <c r="W276" s="1338"/>
      <c r="X276" s="1338"/>
      <c r="Y276" s="1338"/>
      <c r="Z276" s="1338"/>
      <c r="AA276" s="1338"/>
      <c r="AB276" s="1338"/>
      <c r="AC276" s="819"/>
      <c r="AE276" s="819"/>
      <c r="AF276" s="819"/>
      <c r="AG276" s="819"/>
      <c r="AH276" s="819"/>
      <c r="AI276" s="819"/>
      <c r="AJ276" s="819"/>
      <c r="AK276" s="819"/>
      <c r="AL276" s="819"/>
      <c r="AM276" s="819"/>
      <c r="AN276" s="819"/>
      <c r="AO276" s="819"/>
      <c r="AP276" s="819"/>
      <c r="AQ276" s="819"/>
      <c r="AR276" s="819"/>
      <c r="AS276" s="819"/>
      <c r="AT276" s="819"/>
      <c r="AU276" s="819"/>
      <c r="AV276" s="819"/>
      <c r="AW276" s="819"/>
      <c r="AX276" s="819"/>
      <c r="AY276" s="819"/>
      <c r="AZ276" s="819"/>
      <c r="BA276" s="819"/>
    </row>
    <row r="277" spans="1:53" ht="13.5" customHeight="1">
      <c r="B277" s="796"/>
      <c r="C277" s="814"/>
      <c r="D277" s="814"/>
      <c r="E277" s="796"/>
      <c r="F277" s="796"/>
      <c r="G277" s="796"/>
      <c r="H277" s="815"/>
      <c r="I277" s="815"/>
      <c r="J277" s="796"/>
      <c r="K277" s="796"/>
      <c r="L277" s="796"/>
      <c r="M277" s="815"/>
      <c r="N277" s="815"/>
      <c r="O277" s="796"/>
      <c r="P277" s="796"/>
      <c r="Q277" s="815"/>
      <c r="R277" s="815"/>
      <c r="S277" s="796"/>
      <c r="T277" s="796"/>
      <c r="U277" s="796"/>
      <c r="V277" s="1338"/>
      <c r="W277" s="1338"/>
      <c r="X277" s="1338"/>
      <c r="Y277" s="1338"/>
      <c r="Z277" s="1338"/>
      <c r="AA277" s="1338"/>
      <c r="AB277" s="1338"/>
      <c r="AC277" s="819"/>
      <c r="AE277" s="819"/>
      <c r="AF277" s="819"/>
      <c r="AG277" s="819"/>
      <c r="AH277" s="819"/>
      <c r="AI277" s="819"/>
      <c r="AJ277" s="819"/>
      <c r="AK277" s="819"/>
      <c r="AL277" s="819"/>
      <c r="AM277" s="819"/>
      <c r="AN277" s="819"/>
      <c r="AO277" s="819"/>
      <c r="AP277" s="819"/>
      <c r="AQ277" s="819"/>
      <c r="AR277" s="819"/>
      <c r="AS277" s="819"/>
      <c r="AT277" s="819"/>
      <c r="AU277" s="819"/>
      <c r="AV277" s="819"/>
      <c r="AW277" s="819"/>
      <c r="AX277" s="819"/>
      <c r="AY277" s="819"/>
      <c r="AZ277" s="819"/>
      <c r="BA277" s="819"/>
    </row>
    <row r="278" spans="1:53" ht="13.5" customHeight="1">
      <c r="B278" s="796"/>
      <c r="C278" s="814"/>
      <c r="D278" s="814"/>
      <c r="E278" s="796"/>
      <c r="F278" s="796"/>
      <c r="G278" s="796"/>
      <c r="H278" s="796"/>
      <c r="I278" s="796"/>
      <c r="J278" s="796"/>
      <c r="K278" s="796"/>
      <c r="L278" s="796"/>
      <c r="M278" s="796"/>
      <c r="N278" s="796"/>
      <c r="O278" s="796"/>
      <c r="P278" s="796"/>
      <c r="Q278" s="796"/>
      <c r="R278" s="796"/>
      <c r="S278" s="796"/>
      <c r="T278" s="796"/>
      <c r="U278" s="796"/>
      <c r="V278" s="1338"/>
      <c r="W278" s="1338"/>
      <c r="X278" s="1338"/>
      <c r="Y278" s="1338"/>
      <c r="Z278" s="1338"/>
      <c r="AA278" s="1338"/>
      <c r="AB278" s="1338"/>
      <c r="AC278" s="819"/>
      <c r="AE278" s="819"/>
      <c r="AF278" s="819"/>
      <c r="AG278" s="819"/>
      <c r="AH278" s="819"/>
      <c r="AI278" s="819"/>
      <c r="AJ278" s="819"/>
      <c r="AK278" s="819"/>
      <c r="AL278" s="819"/>
      <c r="AM278" s="819"/>
      <c r="AN278" s="819"/>
      <c r="AO278" s="819"/>
      <c r="AP278" s="819"/>
      <c r="AQ278" s="819"/>
      <c r="AR278" s="819"/>
      <c r="AS278" s="819"/>
      <c r="AT278" s="819"/>
      <c r="AU278" s="819"/>
      <c r="AV278" s="819"/>
      <c r="AW278" s="819"/>
      <c r="AX278" s="819"/>
      <c r="AY278" s="819"/>
      <c r="AZ278" s="819"/>
      <c r="BA278" s="819"/>
    </row>
    <row r="279" spans="1:53" ht="13.5" customHeight="1">
      <c r="B279" s="796"/>
      <c r="C279" s="814"/>
      <c r="D279" s="814"/>
      <c r="E279" s="796"/>
      <c r="F279" s="796"/>
      <c r="G279" s="796"/>
      <c r="H279" s="801"/>
      <c r="I279" s="796"/>
      <c r="J279" s="796"/>
      <c r="K279" s="796"/>
      <c r="L279" s="796"/>
      <c r="M279" s="801"/>
      <c r="N279" s="796"/>
      <c r="O279" s="796"/>
      <c r="P279" s="796"/>
      <c r="Q279" s="796"/>
      <c r="R279" s="796"/>
      <c r="S279" s="796"/>
      <c r="T279" s="796"/>
      <c r="U279" s="796"/>
      <c r="V279" s="1338"/>
      <c r="W279" s="1338"/>
      <c r="X279" s="1338"/>
      <c r="Y279" s="1338"/>
      <c r="Z279" s="1338"/>
      <c r="AA279" s="1338"/>
      <c r="AB279" s="1338"/>
      <c r="AC279" s="819"/>
      <c r="AE279" s="819"/>
      <c r="AF279" s="819"/>
      <c r="AG279" s="819"/>
      <c r="AH279" s="819"/>
      <c r="AI279" s="819"/>
      <c r="AJ279" s="819"/>
      <c r="AK279" s="819"/>
      <c r="AL279" s="819"/>
      <c r="AM279" s="819"/>
      <c r="AN279" s="819"/>
      <c r="AO279" s="819"/>
      <c r="AP279" s="819"/>
      <c r="AQ279" s="819"/>
      <c r="AR279" s="819"/>
      <c r="AS279" s="819"/>
      <c r="AT279" s="819"/>
      <c r="AU279" s="819"/>
      <c r="AV279" s="819"/>
      <c r="AW279" s="819"/>
      <c r="AX279" s="819"/>
      <c r="AY279" s="819"/>
      <c r="AZ279" s="819"/>
      <c r="BA279" s="819"/>
    </row>
    <row r="280" spans="1:53" ht="13.5" customHeight="1" thickBot="1">
      <c r="B280" s="796"/>
      <c r="C280" s="814"/>
      <c r="D280" s="814"/>
      <c r="E280" s="789" t="s">
        <v>1499</v>
      </c>
      <c r="F280" s="796"/>
      <c r="G280" s="796"/>
      <c r="H280" s="801"/>
      <c r="I280" s="796"/>
      <c r="J280" s="2106"/>
      <c r="K280" s="2106"/>
      <c r="L280" s="2106"/>
      <c r="M280" s="796"/>
      <c r="N280" s="816"/>
      <c r="O280" s="796"/>
      <c r="P280" s="796"/>
      <c r="Q280" s="796"/>
      <c r="R280" s="796"/>
      <c r="S280" s="796"/>
      <c r="T280" s="796"/>
      <c r="U280" s="796"/>
      <c r="V280" s="1338"/>
      <c r="W280" s="1338"/>
      <c r="X280" s="1338"/>
      <c r="Y280" s="1338"/>
      <c r="Z280" s="1338"/>
      <c r="AA280" s="1338"/>
      <c r="AB280" s="1338"/>
      <c r="AC280" s="819"/>
      <c r="AE280" s="819"/>
      <c r="AF280" s="819"/>
      <c r="AG280" s="819"/>
      <c r="AH280" s="819"/>
      <c r="AI280" s="819"/>
      <c r="AJ280" s="819"/>
      <c r="AK280" s="819"/>
      <c r="AL280" s="819"/>
      <c r="AM280" s="819"/>
      <c r="AN280" s="819"/>
      <c r="AO280" s="819"/>
      <c r="AP280" s="819"/>
      <c r="AQ280" s="819"/>
      <c r="AR280" s="819"/>
      <c r="AS280" s="819"/>
      <c r="AT280" s="819"/>
      <c r="AU280" s="819"/>
      <c r="AV280" s="819"/>
      <c r="AW280" s="819"/>
      <c r="AX280" s="819"/>
      <c r="AY280" s="819"/>
      <c r="AZ280" s="819"/>
      <c r="BA280" s="819"/>
    </row>
    <row r="281" spans="1:53" ht="13.5" customHeight="1" thickTop="1" thickBot="1">
      <c r="B281" s="796"/>
      <c r="C281" s="796"/>
      <c r="D281" s="796"/>
      <c r="E281" s="802"/>
      <c r="F281" s="2017" t="s">
        <v>69</v>
      </c>
      <c r="G281" s="803"/>
      <c r="H281" s="804"/>
      <c r="I281" s="805"/>
      <c r="J281" s="802"/>
      <c r="K281" s="2108" t="s">
        <v>1473</v>
      </c>
      <c r="L281" s="802"/>
      <c r="M281" s="804"/>
      <c r="N281" s="805"/>
      <c r="O281" s="802"/>
      <c r="P281" s="2108" t="s">
        <v>1475</v>
      </c>
      <c r="Q281" s="805"/>
      <c r="R281" s="811"/>
      <c r="S281" s="814"/>
      <c r="T281" s="796"/>
      <c r="U281" s="796"/>
      <c r="V281" s="1338"/>
      <c r="W281" s="1338"/>
      <c r="X281" s="1338"/>
      <c r="Y281" s="1338"/>
      <c r="Z281" s="1338"/>
      <c r="AA281" s="1338"/>
      <c r="AB281" s="1338"/>
      <c r="AC281" s="819"/>
      <c r="AE281" s="819"/>
      <c r="AF281" s="819"/>
      <c r="AG281" s="819"/>
      <c r="AH281" s="819"/>
      <c r="AI281" s="819"/>
      <c r="AJ281" s="819"/>
      <c r="AK281" s="819"/>
      <c r="AL281" s="819"/>
      <c r="AM281" s="819"/>
      <c r="AN281" s="819"/>
      <c r="AO281" s="819"/>
      <c r="AP281" s="819"/>
      <c r="AQ281" s="819"/>
      <c r="AR281" s="819"/>
      <c r="AS281" s="819"/>
      <c r="AT281" s="819"/>
      <c r="AU281" s="819"/>
      <c r="AV281" s="819"/>
      <c r="AW281" s="819"/>
      <c r="AX281" s="819"/>
      <c r="AY281" s="819"/>
      <c r="AZ281" s="819"/>
      <c r="BA281" s="819"/>
    </row>
    <row r="282" spans="1:53" ht="14.1" customHeight="1" thickTop="1" thickBot="1">
      <c r="A282" s="819"/>
      <c r="B282" s="796"/>
      <c r="C282" s="796"/>
      <c r="D282" s="796"/>
      <c r="E282" s="806"/>
      <c r="F282" s="2018"/>
      <c r="G282" s="796"/>
      <c r="H282" s="796"/>
      <c r="I282" s="796"/>
      <c r="J282" s="796"/>
      <c r="K282" s="2109"/>
      <c r="L282" s="796"/>
      <c r="M282" s="796"/>
      <c r="N282" s="796"/>
      <c r="O282" s="796"/>
      <c r="P282" s="2109"/>
      <c r="Q282" s="796"/>
      <c r="R282" s="816"/>
      <c r="S282" s="796"/>
      <c r="T282" s="796"/>
      <c r="U282" s="796"/>
      <c r="V282" s="1342"/>
      <c r="W282" s="1342"/>
      <c r="X282" s="1342"/>
      <c r="Y282" s="1342"/>
      <c r="Z282" s="1342"/>
      <c r="AA282" s="1342"/>
      <c r="AB282" s="1401"/>
      <c r="AC282" s="819"/>
      <c r="AE282" s="819"/>
      <c r="AF282" s="819"/>
      <c r="AG282" s="819"/>
      <c r="AH282" s="819"/>
      <c r="AI282" s="819"/>
      <c r="AJ282" s="819"/>
      <c r="AK282" s="819"/>
      <c r="AL282" s="819"/>
      <c r="AM282" s="819"/>
      <c r="AN282" s="819"/>
      <c r="AO282" s="819"/>
      <c r="AP282" s="819"/>
      <c r="AQ282" s="819"/>
      <c r="AR282" s="819"/>
      <c r="AS282" s="819"/>
      <c r="AT282" s="819"/>
      <c r="AU282" s="819"/>
      <c r="AV282" s="819"/>
      <c r="AW282" s="819"/>
      <c r="AX282" s="819"/>
      <c r="AY282" s="819"/>
      <c r="AZ282" s="819"/>
      <c r="BA282" s="819"/>
    </row>
    <row r="283" spans="1:53" ht="14.1" customHeight="1" thickTop="1" thickBot="1">
      <c r="A283" s="819"/>
      <c r="B283" s="2103" t="s">
        <v>349</v>
      </c>
      <c r="C283" s="2114" t="s">
        <v>334</v>
      </c>
      <c r="D283" s="2118"/>
      <c r="E283" s="814"/>
      <c r="F283" s="814"/>
      <c r="G283" s="796"/>
      <c r="H283" s="796"/>
      <c r="I283" s="796"/>
      <c r="J283" s="796"/>
      <c r="K283" s="796"/>
      <c r="L283" s="796"/>
      <c r="M283" s="796"/>
      <c r="N283" s="796"/>
      <c r="O283" s="796"/>
      <c r="P283" s="796"/>
      <c r="Q283" s="796"/>
      <c r="R283" s="2116" t="s">
        <v>341</v>
      </c>
      <c r="S283" s="2117"/>
      <c r="T283" s="796"/>
      <c r="U283" s="796"/>
      <c r="V283" s="1342"/>
      <c r="W283" s="1342"/>
      <c r="X283" s="1342"/>
      <c r="Y283" s="1342"/>
      <c r="Z283" s="1342"/>
      <c r="AA283" s="1342"/>
      <c r="AB283" s="1401"/>
      <c r="AC283" s="819"/>
      <c r="AE283" s="819"/>
      <c r="AF283" s="819"/>
      <c r="AG283" s="819"/>
      <c r="AH283" s="819"/>
      <c r="AI283" s="819"/>
      <c r="AJ283" s="819"/>
      <c r="AK283" s="819"/>
      <c r="AL283" s="819"/>
      <c r="AM283" s="819"/>
      <c r="AN283" s="819"/>
      <c r="AO283" s="819"/>
      <c r="AP283" s="819"/>
      <c r="AQ283" s="819"/>
      <c r="AR283" s="819"/>
      <c r="AS283" s="819"/>
      <c r="AT283" s="819"/>
      <c r="AU283" s="819"/>
      <c r="AV283" s="819"/>
      <c r="AW283" s="819"/>
      <c r="AX283" s="819"/>
      <c r="AY283" s="819"/>
      <c r="AZ283" s="819"/>
      <c r="BA283" s="819"/>
    </row>
    <row r="284" spans="1:53" ht="14.1" customHeight="1" thickTop="1" thickBot="1">
      <c r="A284" s="819"/>
      <c r="B284" s="2103"/>
      <c r="C284" s="807"/>
      <c r="D284" s="792"/>
      <c r="E284" s="796"/>
      <c r="F284" s="796"/>
      <c r="G284" s="796"/>
      <c r="H284" s="796"/>
      <c r="I284" s="796"/>
      <c r="J284" s="796"/>
      <c r="K284" s="796"/>
      <c r="L284" s="796"/>
      <c r="M284" s="796"/>
      <c r="N284" s="796"/>
      <c r="O284" s="796"/>
      <c r="P284" s="796"/>
      <c r="Q284" s="799"/>
      <c r="R284" s="2110" t="s">
        <v>1508</v>
      </c>
      <c r="S284" s="2110"/>
      <c r="T284" s="796"/>
      <c r="U284" s="796"/>
      <c r="V284" s="1342"/>
      <c r="W284" s="1342"/>
      <c r="X284" s="1342"/>
      <c r="Y284" s="1342"/>
      <c r="Z284" s="1342"/>
      <c r="AA284" s="1342"/>
      <c r="AB284" s="1401"/>
      <c r="AC284" s="819"/>
      <c r="AE284" s="819"/>
      <c r="AF284" s="819"/>
      <c r="AG284" s="819"/>
      <c r="AH284" s="819"/>
      <c r="AI284" s="819"/>
      <c r="AJ284" s="819"/>
      <c r="AK284" s="819"/>
      <c r="AL284" s="819"/>
      <c r="AM284" s="819"/>
      <c r="AN284" s="819"/>
      <c r="AO284" s="819"/>
      <c r="AP284" s="819"/>
      <c r="AQ284" s="819"/>
      <c r="AR284" s="819"/>
      <c r="AS284" s="819"/>
      <c r="AT284" s="819"/>
      <c r="AU284" s="819"/>
      <c r="AV284" s="819"/>
      <c r="AW284" s="819"/>
      <c r="AX284" s="819"/>
      <c r="AY284" s="819"/>
      <c r="AZ284" s="819"/>
      <c r="BA284" s="819"/>
    </row>
    <row r="285" spans="1:53" ht="14.1" customHeight="1" thickTop="1" thickBot="1">
      <c r="A285" s="819"/>
      <c r="B285" s="796"/>
      <c r="C285" s="796"/>
      <c r="D285" s="801"/>
      <c r="E285" s="808"/>
      <c r="F285" s="2022" t="s">
        <v>1481</v>
      </c>
      <c r="G285" s="809"/>
      <c r="H285" s="809"/>
      <c r="I285" s="809"/>
      <c r="J285" s="809"/>
      <c r="K285" s="2108" t="s">
        <v>1479</v>
      </c>
      <c r="L285" s="809"/>
      <c r="M285" s="809"/>
      <c r="N285" s="809"/>
      <c r="O285" s="809"/>
      <c r="P285" s="2108" t="s">
        <v>1478</v>
      </c>
      <c r="Q285" s="800"/>
      <c r="R285" s="2111"/>
      <c r="S285" s="2111"/>
      <c r="T285" s="796"/>
      <c r="U285" s="796"/>
      <c r="V285" s="1342"/>
      <c r="W285" s="1342"/>
      <c r="X285" s="1342"/>
      <c r="Y285" s="1342"/>
      <c r="Z285" s="1342"/>
      <c r="AA285" s="1342"/>
      <c r="AB285" s="1401"/>
      <c r="AC285" s="819"/>
      <c r="AE285" s="819"/>
      <c r="AF285" s="819"/>
      <c r="AG285" s="819"/>
      <c r="AH285" s="819"/>
      <c r="AI285" s="819"/>
      <c r="AJ285" s="819"/>
      <c r="AK285" s="819"/>
      <c r="AL285" s="819"/>
      <c r="AM285" s="819"/>
      <c r="AN285" s="819"/>
      <c r="AO285" s="819"/>
      <c r="AP285" s="819"/>
      <c r="AQ285" s="819"/>
      <c r="AR285" s="819"/>
      <c r="AS285" s="819"/>
      <c r="AT285" s="819"/>
      <c r="AU285" s="819"/>
      <c r="AV285" s="819"/>
      <c r="AW285" s="819"/>
      <c r="AX285" s="819"/>
      <c r="AY285" s="819"/>
      <c r="AZ285" s="819"/>
      <c r="BA285" s="819"/>
    </row>
    <row r="286" spans="1:53" ht="14.1" customHeight="1" thickTop="1" thickBot="1">
      <c r="A286" s="819"/>
      <c r="B286" s="796"/>
      <c r="C286" s="796"/>
      <c r="D286" s="796"/>
      <c r="E286" s="796"/>
      <c r="F286" s="2023"/>
      <c r="G286" s="796"/>
      <c r="H286" s="801"/>
      <c r="I286" s="796"/>
      <c r="J286" s="796"/>
      <c r="K286" s="2109"/>
      <c r="L286" s="796"/>
      <c r="M286" s="801"/>
      <c r="N286" s="796"/>
      <c r="O286" s="796"/>
      <c r="P286" s="2109"/>
      <c r="Q286" s="796"/>
      <c r="R286" s="2111"/>
      <c r="S286" s="2111"/>
      <c r="T286" s="796"/>
      <c r="U286" s="796"/>
      <c r="V286" s="1342"/>
      <c r="W286" s="1342"/>
      <c r="X286" s="1342"/>
      <c r="Y286" s="1342"/>
      <c r="Z286" s="1342"/>
      <c r="AA286" s="1342"/>
      <c r="AB286" s="1401"/>
      <c r="AC286" s="819"/>
      <c r="AE286" s="819"/>
      <c r="AF286" s="819"/>
      <c r="AG286" s="819"/>
      <c r="AH286" s="819"/>
      <c r="AI286" s="819"/>
      <c r="AJ286" s="819"/>
      <c r="AK286" s="819"/>
      <c r="AL286" s="819"/>
      <c r="AM286" s="819"/>
      <c r="AN286" s="819"/>
      <c r="AO286" s="819"/>
      <c r="AP286" s="819"/>
      <c r="AQ286" s="819"/>
      <c r="AR286" s="819"/>
      <c r="AS286" s="819"/>
      <c r="AT286" s="819"/>
      <c r="AU286" s="819"/>
      <c r="AV286" s="819"/>
      <c r="AW286" s="819"/>
      <c r="AX286" s="819"/>
      <c r="AY286" s="819"/>
      <c r="AZ286" s="819"/>
      <c r="BA286" s="819"/>
    </row>
    <row r="287" spans="1:53" ht="14.1" customHeight="1">
      <c r="A287" s="819"/>
      <c r="B287" s="796"/>
      <c r="C287" s="796"/>
      <c r="D287" s="796"/>
      <c r="E287" s="796"/>
      <c r="F287" s="796"/>
      <c r="G287" s="796"/>
      <c r="H287" s="801"/>
      <c r="I287" s="796"/>
      <c r="J287" s="796"/>
      <c r="K287" s="796"/>
      <c r="L287" s="796"/>
      <c r="M287" s="801"/>
      <c r="N287" s="796"/>
      <c r="O287" s="796"/>
      <c r="P287" s="796"/>
      <c r="Q287" s="796"/>
      <c r="R287" s="796"/>
      <c r="S287" s="796"/>
      <c r="T287" s="796"/>
      <c r="U287" s="796"/>
      <c r="V287" s="1342"/>
      <c r="W287" s="1342"/>
      <c r="X287" s="1342"/>
      <c r="Y287" s="1342"/>
      <c r="Z287" s="1342"/>
      <c r="AA287" s="1342"/>
      <c r="AB287" s="1401"/>
      <c r="AC287" s="819"/>
      <c r="AE287" s="819"/>
      <c r="AF287" s="819"/>
      <c r="AG287" s="819"/>
      <c r="AH287" s="819"/>
      <c r="AI287" s="819"/>
      <c r="AJ287" s="819"/>
      <c r="AK287" s="819"/>
      <c r="AL287" s="819"/>
      <c r="AM287" s="819"/>
      <c r="AN287" s="819"/>
      <c r="AO287" s="819"/>
      <c r="AP287" s="819"/>
      <c r="AQ287" s="819"/>
      <c r="AR287" s="819"/>
      <c r="AS287" s="819"/>
      <c r="AT287" s="819"/>
      <c r="AU287" s="819"/>
      <c r="AV287" s="819"/>
      <c r="AW287" s="819"/>
      <c r="AX287" s="819"/>
      <c r="AY287" s="819"/>
      <c r="AZ287" s="819"/>
      <c r="BA287" s="819"/>
    </row>
    <row r="288" spans="1:53" ht="14.1" customHeight="1">
      <c r="A288" s="819"/>
      <c r="B288" s="796"/>
      <c r="C288" s="796"/>
      <c r="D288" s="796"/>
      <c r="E288" s="796"/>
      <c r="F288" s="796"/>
      <c r="G288" s="796"/>
      <c r="H288" s="810"/>
      <c r="I288" s="811"/>
      <c r="J288" s="796"/>
      <c r="K288" s="796"/>
      <c r="L288" s="796"/>
      <c r="M288" s="810"/>
      <c r="N288" s="811"/>
      <c r="O288" s="796"/>
      <c r="P288" s="796"/>
      <c r="Q288" s="811"/>
      <c r="R288" s="811"/>
      <c r="S288" s="796"/>
      <c r="T288" s="796"/>
      <c r="U288" s="796"/>
      <c r="V288" s="1342"/>
      <c r="W288" s="1342"/>
      <c r="X288" s="1342"/>
      <c r="Y288" s="1342"/>
      <c r="Z288" s="1342"/>
      <c r="AA288" s="1342"/>
      <c r="AB288" s="1401"/>
      <c r="AC288" s="819"/>
      <c r="AE288" s="819"/>
      <c r="AF288" s="819"/>
      <c r="AG288" s="819"/>
      <c r="AH288" s="819"/>
      <c r="AI288" s="819"/>
      <c r="AJ288" s="819"/>
      <c r="AK288" s="819"/>
      <c r="AL288" s="819"/>
      <c r="AM288" s="819"/>
      <c r="AN288" s="819"/>
      <c r="AO288" s="819"/>
      <c r="AP288" s="819"/>
      <c r="AQ288" s="819"/>
      <c r="AR288" s="819"/>
      <c r="AS288" s="819"/>
      <c r="AT288" s="819"/>
      <c r="AU288" s="819"/>
      <c r="AV288" s="819"/>
      <c r="AW288" s="819"/>
      <c r="AX288" s="819"/>
      <c r="AY288" s="819"/>
      <c r="AZ288" s="819"/>
      <c r="BA288" s="819"/>
    </row>
    <row r="289" spans="2:53" ht="14.1" customHeight="1">
      <c r="B289" s="796"/>
      <c r="C289" s="813"/>
      <c r="D289" s="796"/>
      <c r="E289" s="796"/>
      <c r="F289" s="796"/>
      <c r="G289" s="796"/>
      <c r="H289" s="2115" t="s">
        <v>1480</v>
      </c>
      <c r="I289" s="2115"/>
      <c r="J289" s="796"/>
      <c r="K289" s="796"/>
      <c r="L289" s="796"/>
      <c r="M289" s="2115" t="s">
        <v>338</v>
      </c>
      <c r="N289" s="2115"/>
      <c r="O289" s="796"/>
      <c r="P289" s="796"/>
      <c r="Q289" s="2115"/>
      <c r="R289" s="2115"/>
      <c r="S289" s="796"/>
      <c r="T289" s="796"/>
      <c r="U289" s="796"/>
      <c r="V289" s="1342"/>
      <c r="W289" s="1342"/>
      <c r="X289" s="1342"/>
      <c r="Y289" s="1342"/>
      <c r="Z289" s="1342"/>
      <c r="AA289" s="1342"/>
      <c r="AB289" s="1401"/>
      <c r="AC289" s="819"/>
      <c r="AE289" s="819"/>
      <c r="AF289" s="819"/>
      <c r="AG289" s="819"/>
      <c r="AH289" s="819"/>
      <c r="AI289" s="819"/>
      <c r="AJ289" s="819"/>
      <c r="AK289" s="819"/>
      <c r="AL289" s="819"/>
      <c r="AM289" s="819"/>
      <c r="AN289" s="819"/>
      <c r="AO289" s="819"/>
      <c r="AP289" s="819"/>
      <c r="AQ289" s="819"/>
      <c r="AR289" s="819"/>
      <c r="AS289" s="819"/>
      <c r="AT289" s="819"/>
      <c r="AU289" s="819"/>
      <c r="AV289" s="819"/>
      <c r="AW289" s="819"/>
      <c r="AX289" s="819"/>
      <c r="AY289" s="819"/>
      <c r="AZ289" s="819"/>
      <c r="BA289" s="819"/>
    </row>
    <row r="290" spans="2:53" ht="14.1" customHeight="1">
      <c r="B290" s="819"/>
      <c r="C290" s="819"/>
      <c r="D290" s="1342"/>
      <c r="E290" s="1342"/>
      <c r="F290" s="1342"/>
      <c r="G290" s="1342"/>
      <c r="H290" s="1342"/>
      <c r="I290" s="1342"/>
      <c r="J290" s="1342"/>
      <c r="K290" s="2126" t="s">
        <v>1500</v>
      </c>
      <c r="L290" s="1342"/>
      <c r="M290" s="1342"/>
      <c r="N290" s="1342"/>
      <c r="O290" s="1342"/>
      <c r="P290" s="1342"/>
      <c r="Q290" s="1342"/>
      <c r="R290" s="1342"/>
      <c r="S290" s="1342"/>
      <c r="T290" s="1342"/>
      <c r="U290" s="1342"/>
      <c r="V290" s="1342"/>
      <c r="W290" s="1342"/>
      <c r="X290" s="1342"/>
      <c r="Y290" s="1342"/>
      <c r="Z290" s="1342"/>
      <c r="AA290" s="1342"/>
      <c r="AB290" s="1401"/>
      <c r="AC290" s="819"/>
      <c r="AE290" s="819"/>
      <c r="AF290" s="819"/>
      <c r="AG290" s="819"/>
      <c r="AH290" s="819"/>
      <c r="AI290" s="819"/>
      <c r="AJ290" s="819"/>
      <c r="AK290" s="819"/>
      <c r="AL290" s="819"/>
      <c r="AM290" s="819"/>
      <c r="AN290" s="819"/>
      <c r="AO290" s="819"/>
      <c r="AP290" s="819"/>
      <c r="AQ290" s="819"/>
      <c r="AR290" s="819"/>
      <c r="AS290" s="819"/>
      <c r="AT290" s="819"/>
      <c r="AU290" s="819"/>
      <c r="AV290" s="819"/>
      <c r="AW290" s="819"/>
      <c r="AX290" s="819"/>
      <c r="AY290" s="819"/>
      <c r="AZ290" s="819"/>
      <c r="BA290" s="819"/>
    </row>
    <row r="291" spans="2:53" ht="14.1" customHeight="1">
      <c r="B291" s="819"/>
      <c r="C291" s="819"/>
      <c r="D291" s="1342"/>
      <c r="E291" s="1342"/>
      <c r="F291" s="1342"/>
      <c r="G291" s="1342"/>
      <c r="H291" s="1342"/>
      <c r="I291" s="1342"/>
      <c r="J291" s="1342"/>
      <c r="K291" s="2126"/>
      <c r="L291" s="1342"/>
      <c r="M291" s="1342"/>
      <c r="N291" s="1342"/>
      <c r="O291" s="1342"/>
      <c r="P291" s="1342"/>
      <c r="Q291" s="1342"/>
      <c r="R291" s="1342"/>
      <c r="S291" s="1342"/>
      <c r="T291" s="1342"/>
      <c r="U291" s="1342"/>
      <c r="V291" s="1342"/>
      <c r="W291" s="1342"/>
      <c r="X291" s="1342"/>
      <c r="Y291" s="1342"/>
      <c r="Z291" s="1342"/>
      <c r="AA291" s="1342"/>
      <c r="AB291" s="1401"/>
      <c r="AC291" s="819"/>
      <c r="AE291" s="819"/>
      <c r="AF291" s="819"/>
      <c r="AG291" s="819"/>
      <c r="AH291" s="819"/>
      <c r="AI291" s="819"/>
      <c r="AJ291" s="819"/>
      <c r="AK291" s="819"/>
      <c r="AL291" s="819"/>
      <c r="AM291" s="819"/>
      <c r="AN291" s="819"/>
      <c r="AO291" s="819"/>
      <c r="AP291" s="819"/>
      <c r="AQ291" s="819"/>
      <c r="AR291" s="819"/>
      <c r="AS291" s="819"/>
      <c r="AT291" s="819"/>
      <c r="AU291" s="819"/>
      <c r="AV291" s="819"/>
      <c r="AW291" s="819"/>
      <c r="AX291" s="819"/>
      <c r="AY291" s="819"/>
      <c r="AZ291" s="819"/>
      <c r="BA291" s="819"/>
    </row>
    <row r="292" spans="2:53" ht="14.1" customHeight="1">
      <c r="B292" s="819"/>
      <c r="C292" s="819"/>
      <c r="D292" s="1342"/>
      <c r="E292" s="1342"/>
      <c r="F292" s="1342"/>
      <c r="G292" s="1342"/>
      <c r="H292" s="1342"/>
      <c r="I292" s="1342"/>
      <c r="J292" s="1342"/>
      <c r="K292" s="1342"/>
      <c r="L292" s="1342"/>
      <c r="M292" s="1342"/>
      <c r="N292" s="1342"/>
      <c r="O292" s="1342"/>
      <c r="P292" s="1342"/>
      <c r="Q292" s="1342"/>
      <c r="R292" s="1342"/>
      <c r="S292" s="1342"/>
      <c r="T292" s="1342"/>
      <c r="U292" s="1342"/>
      <c r="V292" s="1342"/>
      <c r="W292" s="1342"/>
      <c r="X292" s="1342"/>
      <c r="Y292" s="1342"/>
      <c r="Z292" s="1342"/>
      <c r="AA292" s="1342"/>
      <c r="AB292" s="1401"/>
      <c r="AC292" s="819"/>
      <c r="AE292" s="819"/>
      <c r="AF292" s="819"/>
      <c r="AG292" s="819"/>
      <c r="AH292" s="819"/>
      <c r="AI292" s="819"/>
      <c r="AJ292" s="819"/>
      <c r="AK292" s="819"/>
      <c r="AL292" s="819"/>
      <c r="AM292" s="819"/>
      <c r="AN292" s="819"/>
      <c r="AO292" s="819"/>
      <c r="AP292" s="819"/>
      <c r="AQ292" s="819"/>
      <c r="AR292" s="819"/>
      <c r="AS292" s="819"/>
      <c r="AT292" s="819"/>
      <c r="AU292" s="819"/>
      <c r="AV292" s="819"/>
      <c r="AW292" s="819"/>
      <c r="AX292" s="819"/>
      <c r="AY292" s="819"/>
      <c r="AZ292" s="819"/>
      <c r="BA292" s="819"/>
    </row>
    <row r="293" spans="2:53" ht="14.1" customHeight="1">
      <c r="B293" s="796"/>
      <c r="C293" s="796"/>
      <c r="D293" s="796"/>
      <c r="E293" s="796"/>
      <c r="F293" s="796"/>
      <c r="G293" s="2120" t="s">
        <v>276</v>
      </c>
      <c r="H293" s="2120"/>
      <c r="I293" s="2120"/>
      <c r="J293" s="2120"/>
      <c r="K293" s="796"/>
      <c r="L293" s="2120" t="s">
        <v>277</v>
      </c>
      <c r="M293" s="2120"/>
      <c r="N293" s="2120"/>
      <c r="O293" s="2120"/>
      <c r="P293" s="796"/>
      <c r="Q293" s="813"/>
      <c r="R293" s="813"/>
      <c r="S293" s="796"/>
      <c r="T293" s="796"/>
      <c r="U293" s="796"/>
      <c r="V293" s="1342"/>
      <c r="W293" s="1342"/>
      <c r="X293" s="1342"/>
      <c r="Y293" s="1342"/>
      <c r="Z293" s="1342"/>
      <c r="AA293" s="1342"/>
      <c r="AB293" s="1401"/>
      <c r="AC293" s="819"/>
      <c r="AE293" s="819"/>
      <c r="AF293" s="819"/>
      <c r="AG293" s="819"/>
      <c r="AH293" s="819"/>
      <c r="AI293" s="819"/>
      <c r="AJ293" s="819"/>
      <c r="AK293" s="819"/>
      <c r="AL293" s="819"/>
      <c r="AM293" s="819"/>
      <c r="AN293" s="819"/>
      <c r="AO293" s="819"/>
      <c r="AP293" s="819"/>
      <c r="AQ293" s="819"/>
      <c r="AR293" s="819"/>
      <c r="AS293" s="819"/>
      <c r="AT293" s="819"/>
      <c r="AU293" s="819"/>
      <c r="AV293" s="819"/>
      <c r="AW293" s="819"/>
      <c r="AX293" s="819"/>
      <c r="AY293" s="819"/>
      <c r="AZ293" s="819"/>
      <c r="BA293" s="819"/>
    </row>
    <row r="294" spans="2:53" ht="14.1" customHeight="1">
      <c r="B294" s="796"/>
      <c r="C294" s="796"/>
      <c r="D294" s="796"/>
      <c r="E294" s="796"/>
      <c r="F294" s="796"/>
      <c r="G294" s="796"/>
      <c r="H294" s="811" t="s">
        <v>1506</v>
      </c>
      <c r="I294" s="796"/>
      <c r="J294" s="796"/>
      <c r="K294" s="796"/>
      <c r="L294" s="796"/>
      <c r="M294" s="818" t="s">
        <v>1506</v>
      </c>
      <c r="N294" s="813"/>
      <c r="O294" s="796"/>
      <c r="P294" s="796"/>
      <c r="Q294" s="813"/>
      <c r="R294" s="813"/>
      <c r="S294" s="796"/>
      <c r="T294" s="796"/>
      <c r="U294" s="796"/>
      <c r="V294" s="1342"/>
      <c r="W294" s="1342"/>
      <c r="X294" s="1342"/>
      <c r="Y294" s="1342"/>
      <c r="Z294" s="1342"/>
      <c r="AA294" s="1342"/>
      <c r="AB294" s="1401"/>
      <c r="AC294" s="819"/>
      <c r="AE294" s="819"/>
      <c r="AF294" s="819"/>
      <c r="AG294" s="819"/>
      <c r="AH294" s="819"/>
      <c r="AI294" s="819"/>
      <c r="AJ294" s="819"/>
      <c r="AK294" s="819"/>
      <c r="AL294" s="819"/>
      <c r="AM294" s="819"/>
      <c r="AN294" s="819"/>
      <c r="AO294" s="819"/>
      <c r="AP294" s="819"/>
      <c r="AQ294" s="819"/>
      <c r="AR294" s="819"/>
      <c r="AS294" s="819"/>
      <c r="AT294" s="819"/>
      <c r="AU294" s="819"/>
      <c r="AV294" s="819"/>
      <c r="AW294" s="819"/>
      <c r="AX294" s="819"/>
      <c r="AY294" s="819"/>
      <c r="AZ294" s="819"/>
      <c r="BA294" s="819"/>
    </row>
    <row r="295" spans="2:53" ht="14.1" customHeight="1">
      <c r="B295" s="796"/>
      <c r="C295" s="814"/>
      <c r="D295" s="814"/>
      <c r="E295" s="796"/>
      <c r="F295" s="796"/>
      <c r="G295" s="796"/>
      <c r="H295" s="810"/>
      <c r="I295" s="811"/>
      <c r="J295" s="796"/>
      <c r="K295" s="796"/>
      <c r="L295" s="796"/>
      <c r="M295" s="810"/>
      <c r="N295" s="811"/>
      <c r="O295" s="796"/>
      <c r="P295" s="796"/>
      <c r="Q295" s="811"/>
      <c r="R295" s="811"/>
      <c r="S295" s="796"/>
      <c r="T295" s="796"/>
      <c r="U295" s="796"/>
      <c r="V295" s="1342"/>
      <c r="W295" s="1342"/>
      <c r="X295" s="1342"/>
      <c r="Y295" s="1342"/>
      <c r="Z295" s="1342"/>
      <c r="AA295" s="1342"/>
      <c r="AB295" s="1401"/>
      <c r="AC295" s="819"/>
      <c r="AE295" s="819"/>
      <c r="AF295" s="819"/>
      <c r="AG295" s="819"/>
      <c r="AH295" s="819"/>
      <c r="AI295" s="819"/>
      <c r="AJ295" s="819"/>
      <c r="AK295" s="819"/>
      <c r="AL295" s="819"/>
      <c r="AM295" s="819"/>
      <c r="AN295" s="819"/>
      <c r="AO295" s="819"/>
      <c r="AP295" s="819"/>
      <c r="AQ295" s="819"/>
      <c r="AR295" s="819"/>
      <c r="AS295" s="819"/>
      <c r="AT295" s="819"/>
      <c r="AU295" s="819"/>
      <c r="AV295" s="819"/>
      <c r="AW295" s="819"/>
      <c r="AX295" s="819"/>
      <c r="AY295" s="819"/>
      <c r="AZ295" s="819"/>
      <c r="BA295" s="819"/>
    </row>
    <row r="296" spans="2:53" ht="14.1" customHeight="1">
      <c r="B296" s="796"/>
      <c r="C296" s="814"/>
      <c r="D296" s="814"/>
      <c r="E296" s="796"/>
      <c r="F296" s="796"/>
      <c r="G296" s="796"/>
      <c r="H296" s="812"/>
      <c r="I296" s="815"/>
      <c r="J296" s="796"/>
      <c r="K296" s="796"/>
      <c r="L296" s="796"/>
      <c r="M296" s="812"/>
      <c r="N296" s="815"/>
      <c r="O296" s="796"/>
      <c r="P296" s="796"/>
      <c r="Q296" s="815"/>
      <c r="R296" s="815"/>
      <c r="S296" s="796"/>
      <c r="T296" s="796"/>
      <c r="U296" s="796"/>
      <c r="V296" s="1342"/>
      <c r="W296" s="1342"/>
      <c r="X296" s="1342"/>
      <c r="Y296" s="1342"/>
      <c r="Z296" s="1342"/>
      <c r="AA296" s="1342"/>
      <c r="AB296" s="1401"/>
      <c r="AC296" s="819"/>
      <c r="AE296" s="819"/>
      <c r="AF296" s="819"/>
      <c r="AG296" s="819"/>
      <c r="AH296" s="819"/>
      <c r="AI296" s="819"/>
      <c r="AJ296" s="819"/>
      <c r="AK296" s="819"/>
      <c r="AL296" s="819"/>
      <c r="AM296" s="819"/>
      <c r="AN296" s="819"/>
      <c r="AO296" s="819"/>
      <c r="AP296" s="819"/>
      <c r="AQ296" s="819"/>
      <c r="AR296" s="819"/>
      <c r="AS296" s="819"/>
      <c r="AT296" s="819"/>
      <c r="AU296" s="819"/>
      <c r="AV296" s="819"/>
      <c r="AW296" s="819"/>
      <c r="AX296" s="819"/>
      <c r="AY296" s="819"/>
      <c r="AZ296" s="819"/>
      <c r="BA296" s="819"/>
    </row>
    <row r="297" spans="2:53" ht="14.1" customHeight="1">
      <c r="B297" s="796"/>
      <c r="C297" s="814"/>
      <c r="D297" s="814"/>
      <c r="E297" s="796"/>
      <c r="F297" s="796" t="s">
        <v>1498</v>
      </c>
      <c r="G297" s="796"/>
      <c r="H297" s="815"/>
      <c r="I297" s="815"/>
      <c r="J297" s="796"/>
      <c r="K297" s="796"/>
      <c r="L297" s="796"/>
      <c r="M297" s="815"/>
      <c r="N297" s="815"/>
      <c r="O297" s="796"/>
      <c r="P297" s="796"/>
      <c r="Q297" s="815"/>
      <c r="R297" s="815"/>
      <c r="S297" s="796"/>
      <c r="T297" s="796"/>
      <c r="U297" s="796"/>
      <c r="V297" s="1342"/>
      <c r="W297" s="1342"/>
      <c r="X297" s="1342"/>
      <c r="Y297" s="1342"/>
      <c r="Z297" s="1342"/>
      <c r="AA297" s="1342"/>
      <c r="AB297" s="1401"/>
      <c r="AC297" s="819"/>
      <c r="AE297" s="819"/>
      <c r="AF297" s="819"/>
      <c r="AG297" s="819"/>
      <c r="AH297" s="819"/>
      <c r="AI297" s="819"/>
      <c r="AJ297" s="819"/>
      <c r="AK297" s="819"/>
      <c r="AL297" s="819"/>
      <c r="AM297" s="819"/>
      <c r="AN297" s="819"/>
      <c r="AO297" s="819"/>
      <c r="AP297" s="819"/>
      <c r="AQ297" s="819"/>
      <c r="AR297" s="819"/>
      <c r="AS297" s="819"/>
      <c r="AT297" s="819"/>
      <c r="AU297" s="819"/>
      <c r="AV297" s="819"/>
      <c r="AW297" s="819"/>
      <c r="AX297" s="819"/>
      <c r="AY297" s="819"/>
      <c r="AZ297" s="819"/>
      <c r="BA297" s="819"/>
    </row>
    <row r="298" spans="2:53" ht="14.1" customHeight="1">
      <c r="B298" s="796"/>
      <c r="C298" s="814"/>
      <c r="D298" s="814"/>
      <c r="E298" s="796"/>
      <c r="F298" s="796"/>
      <c r="G298" s="796"/>
      <c r="H298" s="815"/>
      <c r="I298" s="815"/>
      <c r="J298" s="796"/>
      <c r="K298" s="796"/>
      <c r="L298" s="796"/>
      <c r="M298" s="815"/>
      <c r="N298" s="815"/>
      <c r="O298" s="796"/>
      <c r="P298" s="796"/>
      <c r="Q298" s="815"/>
      <c r="R298" s="815"/>
      <c r="S298" s="796"/>
      <c r="T298" s="796"/>
      <c r="U298" s="796"/>
      <c r="V298" s="1342"/>
      <c r="W298" s="1342"/>
      <c r="X298" s="1342"/>
      <c r="Y298" s="1342"/>
      <c r="Z298" s="1342"/>
      <c r="AA298" s="1342"/>
      <c r="AB298" s="1401"/>
      <c r="AC298" s="819"/>
      <c r="AE298" s="819"/>
      <c r="AF298" s="819"/>
      <c r="AG298" s="819"/>
      <c r="AH298" s="819"/>
      <c r="AI298" s="819"/>
      <c r="AJ298" s="819"/>
      <c r="AK298" s="819"/>
      <c r="AL298" s="819"/>
      <c r="AM298" s="819"/>
      <c r="AN298" s="819"/>
      <c r="AO298" s="819"/>
      <c r="AP298" s="819"/>
      <c r="AQ298" s="819"/>
      <c r="AR298" s="819"/>
      <c r="AS298" s="819"/>
      <c r="AT298" s="819"/>
      <c r="AU298" s="819"/>
      <c r="AV298" s="819"/>
      <c r="AW298" s="819"/>
      <c r="AX298" s="819"/>
      <c r="AY298" s="819"/>
      <c r="AZ298" s="819"/>
      <c r="BA298" s="819"/>
    </row>
    <row r="299" spans="2:53" ht="14.1" customHeight="1">
      <c r="B299" s="796"/>
      <c r="C299" s="814"/>
      <c r="D299" s="814"/>
      <c r="E299" s="796"/>
      <c r="F299" s="796"/>
      <c r="G299" s="796"/>
      <c r="H299" s="796"/>
      <c r="I299" s="796"/>
      <c r="J299" s="796"/>
      <c r="K299" s="796"/>
      <c r="L299" s="796"/>
      <c r="M299" s="796"/>
      <c r="N299" s="796"/>
      <c r="O299" s="796"/>
      <c r="P299" s="796"/>
      <c r="Q299" s="796"/>
      <c r="R299" s="796"/>
      <c r="S299" s="796"/>
      <c r="T299" s="796"/>
      <c r="U299" s="796"/>
      <c r="V299" s="1342"/>
      <c r="W299" s="1342"/>
      <c r="X299" s="1342"/>
      <c r="Y299" s="1342"/>
      <c r="Z299" s="1342"/>
      <c r="AA299" s="1342"/>
      <c r="AB299" s="1401"/>
      <c r="AC299" s="819"/>
      <c r="AE299" s="819"/>
      <c r="AF299" s="819"/>
      <c r="AG299" s="819"/>
      <c r="AH299" s="819"/>
      <c r="AI299" s="819"/>
      <c r="AJ299" s="819"/>
      <c r="AK299" s="819"/>
      <c r="AL299" s="819"/>
      <c r="AM299" s="819"/>
      <c r="AN299" s="819"/>
      <c r="AO299" s="819"/>
      <c r="AP299" s="819"/>
      <c r="AQ299" s="819"/>
      <c r="AR299" s="819"/>
      <c r="AS299" s="819"/>
      <c r="AT299" s="819"/>
      <c r="AU299" s="819"/>
      <c r="AV299" s="819"/>
      <c r="AW299" s="819"/>
      <c r="AX299" s="819"/>
      <c r="AY299" s="819"/>
      <c r="AZ299" s="819"/>
      <c r="BA299" s="819"/>
    </row>
    <row r="300" spans="2:53" ht="14.1" customHeight="1">
      <c r="B300" s="796"/>
      <c r="C300" s="814"/>
      <c r="D300" s="814"/>
      <c r="E300" s="796"/>
      <c r="F300" s="796"/>
      <c r="G300" s="796"/>
      <c r="H300" s="801"/>
      <c r="I300" s="796"/>
      <c r="J300" s="796"/>
      <c r="K300" s="796"/>
      <c r="L300" s="796"/>
      <c r="M300" s="801"/>
      <c r="N300" s="796"/>
      <c r="O300" s="796"/>
      <c r="P300" s="796"/>
      <c r="Q300" s="796"/>
      <c r="R300" s="796"/>
      <c r="S300" s="796"/>
      <c r="T300" s="796"/>
      <c r="U300" s="796"/>
      <c r="V300" s="1342"/>
      <c r="W300" s="1342"/>
      <c r="X300" s="1342"/>
      <c r="Y300" s="1342"/>
      <c r="Z300" s="1342"/>
      <c r="AA300" s="1342"/>
      <c r="AB300" s="1401"/>
      <c r="AC300" s="819"/>
      <c r="AE300" s="819"/>
      <c r="AF300" s="819"/>
      <c r="AG300" s="819"/>
      <c r="AH300" s="819"/>
      <c r="AI300" s="819"/>
      <c r="AJ300" s="819"/>
      <c r="AK300" s="819"/>
      <c r="AL300" s="819"/>
      <c r="AM300" s="819"/>
      <c r="AN300" s="819"/>
      <c r="AO300" s="819"/>
      <c r="AP300" s="819"/>
      <c r="AQ300" s="819"/>
      <c r="AR300" s="819"/>
      <c r="AS300" s="819"/>
      <c r="AT300" s="819"/>
      <c r="AU300" s="819"/>
      <c r="AV300" s="819"/>
      <c r="AW300" s="819"/>
      <c r="AX300" s="819"/>
      <c r="AY300" s="819"/>
      <c r="AZ300" s="819"/>
      <c r="BA300" s="819"/>
    </row>
    <row r="301" spans="2:53" ht="14.1" customHeight="1" thickBot="1">
      <c r="B301" s="796"/>
      <c r="C301" s="814"/>
      <c r="D301" s="814"/>
      <c r="E301" s="789" t="s">
        <v>1499</v>
      </c>
      <c r="F301" s="796"/>
      <c r="G301" s="796"/>
      <c r="H301" s="801"/>
      <c r="I301" s="796"/>
      <c r="J301" s="2106"/>
      <c r="K301" s="2106"/>
      <c r="L301" s="2106"/>
      <c r="M301" s="796"/>
      <c r="N301" s="816"/>
      <c r="O301" s="796"/>
      <c r="P301" s="796"/>
      <c r="Q301" s="796"/>
      <c r="R301" s="796"/>
      <c r="S301" s="796"/>
      <c r="T301" s="796"/>
      <c r="U301" s="796"/>
      <c r="V301" s="1342"/>
      <c r="W301" s="1342"/>
      <c r="X301" s="1342"/>
      <c r="Y301" s="1342"/>
      <c r="Z301" s="1342"/>
      <c r="AA301" s="1342"/>
      <c r="AB301" s="1401"/>
      <c r="AC301" s="819"/>
      <c r="AE301" s="819"/>
      <c r="AF301" s="819"/>
      <c r="AG301" s="819"/>
      <c r="AH301" s="819"/>
      <c r="AI301" s="819"/>
      <c r="AJ301" s="819"/>
      <c r="AK301" s="819"/>
      <c r="AL301" s="819"/>
      <c r="AM301" s="819"/>
      <c r="AN301" s="819"/>
      <c r="AO301" s="819"/>
      <c r="AP301" s="819"/>
      <c r="AQ301" s="819"/>
      <c r="AR301" s="819"/>
      <c r="AS301" s="819"/>
      <c r="AT301" s="819"/>
      <c r="AU301" s="819"/>
      <c r="AV301" s="819"/>
      <c r="AW301" s="819"/>
      <c r="AX301" s="819"/>
      <c r="AY301" s="819"/>
      <c r="AZ301" s="819"/>
      <c r="BA301" s="819"/>
    </row>
    <row r="302" spans="2:53" ht="14.1" customHeight="1" thickTop="1" thickBot="1">
      <c r="B302" s="796"/>
      <c r="C302" s="796"/>
      <c r="D302" s="796"/>
      <c r="E302" s="802"/>
      <c r="F302" s="2017" t="s">
        <v>69</v>
      </c>
      <c r="G302" s="803"/>
      <c r="H302" s="804"/>
      <c r="I302" s="805"/>
      <c r="J302" s="802"/>
      <c r="K302" s="2108" t="s">
        <v>1473</v>
      </c>
      <c r="L302" s="802"/>
      <c r="M302" s="804"/>
      <c r="N302" s="805"/>
      <c r="O302" s="802"/>
      <c r="P302" s="2108" t="s">
        <v>1475</v>
      </c>
      <c r="Q302" s="805"/>
      <c r="R302" s="811"/>
      <c r="S302" s="814"/>
      <c r="T302" s="796"/>
      <c r="U302" s="796"/>
      <c r="V302" s="1342"/>
      <c r="W302" s="1342"/>
      <c r="X302" s="1342"/>
      <c r="Y302" s="1342"/>
      <c r="Z302" s="1342"/>
      <c r="AA302" s="1342"/>
      <c r="AB302" s="1401"/>
      <c r="AC302" s="819"/>
      <c r="AE302" s="819"/>
      <c r="AF302" s="819"/>
      <c r="AG302" s="819"/>
      <c r="AH302" s="819"/>
      <c r="AI302" s="819"/>
      <c r="AJ302" s="819"/>
      <c r="AK302" s="819"/>
      <c r="AL302" s="819"/>
      <c r="AM302" s="819"/>
      <c r="AN302" s="819"/>
      <c r="AO302" s="819"/>
      <c r="AP302" s="819"/>
      <c r="AQ302" s="819"/>
      <c r="AR302" s="819"/>
      <c r="AS302" s="819"/>
      <c r="AT302" s="819"/>
      <c r="AU302" s="819"/>
      <c r="AV302" s="819"/>
      <c r="AW302" s="819"/>
      <c r="AX302" s="819"/>
      <c r="AY302" s="819"/>
      <c r="AZ302" s="819"/>
      <c r="BA302" s="819"/>
    </row>
    <row r="303" spans="2:53" ht="14.1" customHeight="1" thickTop="1" thickBot="1">
      <c r="B303" s="796"/>
      <c r="C303" s="796"/>
      <c r="D303" s="796"/>
      <c r="E303" s="806"/>
      <c r="F303" s="2018"/>
      <c r="G303" s="796"/>
      <c r="H303" s="796"/>
      <c r="I303" s="796"/>
      <c r="J303" s="796"/>
      <c r="K303" s="2109"/>
      <c r="L303" s="796"/>
      <c r="M303" s="796"/>
      <c r="N303" s="796"/>
      <c r="O303" s="796"/>
      <c r="P303" s="2109"/>
      <c r="Q303" s="796"/>
      <c r="R303" s="816"/>
      <c r="S303" s="796"/>
      <c r="T303" s="796"/>
      <c r="U303" s="796"/>
      <c r="V303" s="1342"/>
      <c r="W303" s="1342"/>
      <c r="X303" s="1342"/>
      <c r="Y303" s="1342"/>
      <c r="Z303" s="1342"/>
      <c r="AA303" s="1342"/>
      <c r="AB303" s="1401"/>
      <c r="AC303" s="819"/>
      <c r="AE303" s="819"/>
      <c r="AF303" s="819"/>
      <c r="AG303" s="819"/>
      <c r="AH303" s="819"/>
      <c r="AI303" s="819"/>
      <c r="AJ303" s="819"/>
      <c r="AK303" s="819"/>
      <c r="AL303" s="819"/>
      <c r="AM303" s="819"/>
      <c r="AN303" s="819"/>
      <c r="AO303" s="819"/>
      <c r="AP303" s="819"/>
      <c r="AQ303" s="819"/>
      <c r="AR303" s="819"/>
      <c r="AS303" s="819"/>
      <c r="AT303" s="819"/>
      <c r="AU303" s="819"/>
      <c r="AV303" s="819"/>
      <c r="AW303" s="819"/>
      <c r="AX303" s="819"/>
      <c r="AY303" s="819"/>
      <c r="AZ303" s="819"/>
      <c r="BA303" s="819"/>
    </row>
    <row r="304" spans="2:53" ht="14.1" customHeight="1" thickTop="1" thickBot="1">
      <c r="B304" s="2103" t="s">
        <v>349</v>
      </c>
      <c r="C304" s="2114" t="s">
        <v>334</v>
      </c>
      <c r="D304" s="2118"/>
      <c r="E304" s="814"/>
      <c r="F304" s="814"/>
      <c r="G304" s="796"/>
      <c r="H304" s="796"/>
      <c r="I304" s="796"/>
      <c r="J304" s="796"/>
      <c r="K304" s="796"/>
      <c r="L304" s="796"/>
      <c r="M304" s="796"/>
      <c r="N304" s="796"/>
      <c r="O304" s="796"/>
      <c r="P304" s="796"/>
      <c r="Q304" s="796"/>
      <c r="R304" s="2113" t="s">
        <v>341</v>
      </c>
      <c r="S304" s="2114"/>
      <c r="T304" s="796"/>
      <c r="U304" s="796"/>
      <c r="V304" s="1342"/>
      <c r="W304" s="1342"/>
      <c r="X304" s="1342"/>
      <c r="Y304" s="1342"/>
      <c r="Z304" s="1342"/>
      <c r="AA304" s="1342"/>
      <c r="AB304" s="1401"/>
      <c r="AC304" s="819"/>
      <c r="AE304" s="819"/>
      <c r="AF304" s="819"/>
      <c r="AG304" s="819"/>
      <c r="AH304" s="819"/>
      <c r="AI304" s="819"/>
      <c r="AJ304" s="819"/>
      <c r="AK304" s="819"/>
      <c r="AL304" s="819"/>
      <c r="AM304" s="819"/>
      <c r="AN304" s="819"/>
      <c r="AO304" s="819"/>
      <c r="AP304" s="819"/>
      <c r="AQ304" s="819"/>
      <c r="AR304" s="819"/>
      <c r="AS304" s="819"/>
      <c r="AT304" s="819"/>
      <c r="AU304" s="819"/>
      <c r="AV304" s="819"/>
      <c r="AW304" s="819"/>
      <c r="AX304" s="819"/>
      <c r="AY304" s="819"/>
      <c r="AZ304" s="819"/>
      <c r="BA304" s="819"/>
    </row>
    <row r="305" spans="2:53" ht="14.1" customHeight="1" thickTop="1" thickBot="1">
      <c r="B305" s="2103"/>
      <c r="C305" s="807"/>
      <c r="D305" s="792"/>
      <c r="E305" s="796"/>
      <c r="F305" s="796"/>
      <c r="G305" s="796"/>
      <c r="H305" s="796"/>
      <c r="I305" s="796"/>
      <c r="J305" s="796"/>
      <c r="K305" s="796"/>
      <c r="L305" s="796"/>
      <c r="M305" s="796"/>
      <c r="N305" s="796"/>
      <c r="O305" s="796"/>
      <c r="P305" s="796"/>
      <c r="Q305" s="796"/>
      <c r="R305" s="817"/>
      <c r="S305" s="807"/>
      <c r="T305" s="796"/>
      <c r="U305" s="796"/>
      <c r="V305" s="1342"/>
      <c r="W305" s="1342"/>
      <c r="X305" s="1342"/>
      <c r="Y305" s="1342"/>
      <c r="Z305" s="1342"/>
      <c r="AA305" s="1342"/>
      <c r="AB305" s="1401"/>
      <c r="AC305" s="819"/>
      <c r="AE305" s="819"/>
      <c r="AF305" s="819"/>
      <c r="AG305" s="819"/>
      <c r="AH305" s="819"/>
      <c r="AI305" s="819"/>
      <c r="AJ305" s="819"/>
      <c r="AK305" s="819"/>
      <c r="AL305" s="819"/>
      <c r="AM305" s="819"/>
      <c r="AN305" s="819"/>
      <c r="AO305" s="819"/>
      <c r="AP305" s="819"/>
      <c r="AQ305" s="819"/>
      <c r="AR305" s="819"/>
      <c r="AS305" s="819"/>
      <c r="AT305" s="819"/>
      <c r="AU305" s="819"/>
      <c r="AV305" s="819"/>
      <c r="AW305" s="819"/>
      <c r="AX305" s="819"/>
      <c r="AY305" s="819"/>
      <c r="AZ305" s="819"/>
      <c r="BA305" s="819"/>
    </row>
    <row r="306" spans="2:53" ht="14.1" customHeight="1" thickTop="1" thickBot="1">
      <c r="B306" s="796"/>
      <c r="C306" s="796"/>
      <c r="D306" s="801"/>
      <c r="E306" s="808"/>
      <c r="F306" s="2022" t="s">
        <v>1481</v>
      </c>
      <c r="G306" s="809"/>
      <c r="H306" s="809"/>
      <c r="I306" s="809"/>
      <c r="J306" s="809"/>
      <c r="K306" s="2108" t="s">
        <v>1479</v>
      </c>
      <c r="L306" s="809"/>
      <c r="M306" s="809"/>
      <c r="N306" s="809"/>
      <c r="O306" s="809"/>
      <c r="P306" s="2022" t="s">
        <v>1478</v>
      </c>
      <c r="Q306" s="809"/>
      <c r="R306" s="816"/>
      <c r="S306" s="796"/>
      <c r="T306" s="796"/>
      <c r="U306" s="796"/>
      <c r="V306" s="1342"/>
      <c r="W306" s="1342"/>
      <c r="X306" s="1342"/>
      <c r="Y306" s="1342"/>
      <c r="Z306" s="1342"/>
      <c r="AA306" s="1342"/>
      <c r="AB306" s="1401"/>
      <c r="AC306" s="819"/>
      <c r="AE306" s="819"/>
      <c r="AF306" s="819"/>
      <c r="AG306" s="819"/>
      <c r="AH306" s="819"/>
      <c r="AI306" s="819"/>
      <c r="AJ306" s="819"/>
      <c r="AK306" s="819"/>
      <c r="AL306" s="819"/>
      <c r="AM306" s="819"/>
      <c r="AN306" s="819"/>
      <c r="AO306" s="819"/>
      <c r="AP306" s="819"/>
      <c r="AQ306" s="819"/>
      <c r="AR306" s="819"/>
      <c r="AS306" s="819"/>
      <c r="AT306" s="819"/>
      <c r="AU306" s="819"/>
      <c r="AV306" s="819"/>
      <c r="AW306" s="819"/>
      <c r="AX306" s="819"/>
      <c r="AY306" s="819"/>
      <c r="AZ306" s="819"/>
      <c r="BA306" s="819"/>
    </row>
    <row r="307" spans="2:53" ht="14.1" customHeight="1" thickTop="1" thickBot="1">
      <c r="B307" s="796"/>
      <c r="C307" s="796"/>
      <c r="D307" s="796"/>
      <c r="E307" s="796"/>
      <c r="F307" s="2023"/>
      <c r="G307" s="796"/>
      <c r="H307" s="801"/>
      <c r="I307" s="796"/>
      <c r="J307" s="796"/>
      <c r="K307" s="2109"/>
      <c r="L307" s="796"/>
      <c r="M307" s="801"/>
      <c r="N307" s="796"/>
      <c r="O307" s="796"/>
      <c r="P307" s="2023"/>
      <c r="Q307" s="796"/>
      <c r="R307" s="796"/>
      <c r="S307" s="796"/>
      <c r="T307" s="796"/>
      <c r="U307" s="796"/>
      <c r="V307" s="1342"/>
      <c r="W307" s="1342"/>
      <c r="X307" s="1342"/>
      <c r="Y307" s="1342"/>
      <c r="Z307" s="1342"/>
      <c r="AA307" s="1342"/>
      <c r="AB307" s="1401"/>
      <c r="AC307" s="819"/>
      <c r="AE307" s="819"/>
      <c r="AF307" s="819"/>
      <c r="AG307" s="819"/>
      <c r="AH307" s="819"/>
      <c r="AI307" s="819"/>
      <c r="AJ307" s="819"/>
      <c r="AK307" s="819"/>
      <c r="AL307" s="819"/>
      <c r="AM307" s="819"/>
      <c r="AN307" s="819"/>
      <c r="AO307" s="819"/>
      <c r="AP307" s="819"/>
      <c r="AQ307" s="819"/>
      <c r="AR307" s="819"/>
      <c r="AS307" s="819"/>
      <c r="AT307" s="819"/>
      <c r="AU307" s="819"/>
      <c r="AV307" s="819"/>
      <c r="AW307" s="819"/>
      <c r="AX307" s="819"/>
      <c r="AY307" s="819"/>
      <c r="AZ307" s="819"/>
      <c r="BA307" s="819"/>
    </row>
    <row r="308" spans="2:53" ht="14.1" customHeight="1">
      <c r="B308" s="796"/>
      <c r="C308" s="796"/>
      <c r="D308" s="796"/>
      <c r="E308" s="796"/>
      <c r="F308" s="796"/>
      <c r="G308" s="796"/>
      <c r="H308" s="801"/>
      <c r="I308" s="796"/>
      <c r="J308" s="796"/>
      <c r="K308" s="796"/>
      <c r="L308" s="796"/>
      <c r="M308" s="801"/>
      <c r="N308" s="796"/>
      <c r="O308" s="2111" t="s">
        <v>1509</v>
      </c>
      <c r="P308" s="2120"/>
      <c r="Q308" s="2120"/>
      <c r="R308" s="796"/>
      <c r="S308" s="796"/>
      <c r="T308" s="796"/>
      <c r="U308" s="796"/>
      <c r="V308" s="1342"/>
      <c r="W308" s="1342"/>
      <c r="X308" s="1342"/>
      <c r="Y308" s="1342"/>
      <c r="Z308" s="1342"/>
      <c r="AA308" s="1342"/>
      <c r="AB308" s="1401"/>
      <c r="AC308" s="819"/>
      <c r="AE308" s="819"/>
      <c r="AF308" s="819"/>
      <c r="AG308" s="819"/>
      <c r="AH308" s="819"/>
      <c r="AI308" s="819"/>
      <c r="AJ308" s="819"/>
      <c r="AK308" s="819"/>
      <c r="AL308" s="819"/>
      <c r="AM308" s="819"/>
      <c r="AN308" s="819"/>
      <c r="AO308" s="819"/>
      <c r="AP308" s="819"/>
      <c r="AQ308" s="819"/>
      <c r="AR308" s="819"/>
      <c r="AS308" s="819"/>
      <c r="AT308" s="819"/>
      <c r="AU308" s="819"/>
      <c r="AV308" s="819"/>
      <c r="AW308" s="819"/>
      <c r="AX308" s="819"/>
      <c r="AY308" s="819"/>
      <c r="AZ308" s="819"/>
      <c r="BA308" s="819"/>
    </row>
    <row r="309" spans="2:53" ht="14.1" customHeight="1">
      <c r="B309" s="796"/>
      <c r="C309" s="796"/>
      <c r="D309" s="796"/>
      <c r="E309" s="796"/>
      <c r="F309" s="796"/>
      <c r="G309" s="796"/>
      <c r="H309" s="810"/>
      <c r="I309" s="811"/>
      <c r="J309" s="796"/>
      <c r="K309" s="796"/>
      <c r="L309" s="796"/>
      <c r="M309" s="810"/>
      <c r="N309" s="811"/>
      <c r="O309" s="2120"/>
      <c r="P309" s="2120"/>
      <c r="Q309" s="2120"/>
      <c r="R309" s="811"/>
      <c r="S309" s="796"/>
      <c r="T309" s="796"/>
      <c r="U309" s="796"/>
      <c r="V309" s="1342"/>
      <c r="W309" s="1342"/>
      <c r="X309" s="1342"/>
      <c r="Y309" s="1342"/>
      <c r="Z309" s="1342"/>
      <c r="AA309" s="1342"/>
      <c r="AB309" s="1401"/>
      <c r="AC309" s="819"/>
      <c r="AE309" s="819"/>
      <c r="AF309" s="819"/>
      <c r="AG309" s="819"/>
      <c r="AH309" s="819"/>
      <c r="AI309" s="819"/>
      <c r="AJ309" s="819"/>
      <c r="AK309" s="819"/>
      <c r="AL309" s="819"/>
      <c r="AM309" s="819"/>
      <c r="AN309" s="819"/>
      <c r="AO309" s="819"/>
      <c r="AP309" s="819"/>
      <c r="AQ309" s="819"/>
      <c r="AR309" s="819"/>
      <c r="AS309" s="819"/>
      <c r="AT309" s="819"/>
      <c r="AU309" s="819"/>
      <c r="AV309" s="819"/>
      <c r="AW309" s="819"/>
      <c r="AX309" s="819"/>
      <c r="AY309" s="819"/>
      <c r="AZ309" s="819"/>
      <c r="BA309" s="819"/>
    </row>
    <row r="310" spans="2:53" ht="14.1" customHeight="1">
      <c r="B310" s="796"/>
      <c r="C310" s="813"/>
      <c r="D310" s="796"/>
      <c r="E310" s="796"/>
      <c r="F310" s="796"/>
      <c r="G310" s="796"/>
      <c r="H310" s="2115" t="s">
        <v>1480</v>
      </c>
      <c r="I310" s="2115"/>
      <c r="J310" s="796"/>
      <c r="K310" s="796"/>
      <c r="L310" s="796"/>
      <c r="M310" s="2115" t="s">
        <v>338</v>
      </c>
      <c r="N310" s="2115"/>
      <c r="O310" s="2120"/>
      <c r="P310" s="2120"/>
      <c r="Q310" s="2120"/>
      <c r="R310" s="815"/>
      <c r="S310" s="796"/>
      <c r="T310" s="796"/>
      <c r="U310" s="796"/>
      <c r="V310" s="1342"/>
      <c r="W310" s="1342"/>
      <c r="X310" s="1342"/>
      <c r="Y310" s="1342"/>
      <c r="Z310" s="1342"/>
      <c r="AA310" s="1342"/>
      <c r="AB310" s="1401"/>
      <c r="AC310" s="819"/>
      <c r="AE310" s="819"/>
      <c r="AF310" s="819"/>
      <c r="AG310" s="819"/>
      <c r="AH310" s="819"/>
      <c r="AI310" s="819"/>
      <c r="AJ310" s="819"/>
      <c r="AK310" s="819"/>
      <c r="AL310" s="819"/>
      <c r="AM310" s="819"/>
      <c r="AN310" s="819"/>
      <c r="AO310" s="819"/>
      <c r="AP310" s="819"/>
      <c r="AQ310" s="819"/>
      <c r="AR310" s="819"/>
      <c r="AS310" s="819"/>
      <c r="AT310" s="819"/>
      <c r="AU310" s="819"/>
      <c r="AV310" s="819"/>
      <c r="AW310" s="819"/>
      <c r="AX310" s="819"/>
      <c r="AY310" s="819"/>
      <c r="AZ310" s="819"/>
      <c r="BA310" s="819"/>
    </row>
    <row r="311" spans="2:53" ht="14.1" customHeight="1">
      <c r="B311" s="819"/>
      <c r="C311" s="819"/>
      <c r="D311" s="1342"/>
      <c r="E311" s="1342"/>
      <c r="F311" s="1342"/>
      <c r="G311" s="1342"/>
      <c r="H311" s="1342"/>
      <c r="I311" s="1342"/>
      <c r="J311" s="1342"/>
      <c r="K311" s="1342"/>
      <c r="L311" s="1342"/>
      <c r="M311" s="1342"/>
      <c r="N311" s="1342"/>
      <c r="O311" s="1342"/>
      <c r="P311" s="1342"/>
      <c r="Q311" s="1342"/>
      <c r="R311" s="1342"/>
      <c r="S311" s="1342"/>
      <c r="T311" s="1342"/>
      <c r="U311" s="1342"/>
      <c r="V311" s="1342"/>
      <c r="W311" s="1342"/>
      <c r="X311" s="1342"/>
      <c r="Y311" s="1342"/>
      <c r="Z311" s="1342"/>
      <c r="AA311" s="1342"/>
      <c r="AB311" s="1401"/>
      <c r="AC311" s="819"/>
      <c r="AE311" s="819"/>
      <c r="AF311" s="819"/>
      <c r="AG311" s="819"/>
      <c r="AH311" s="819"/>
      <c r="AI311" s="819"/>
      <c r="AJ311" s="819"/>
      <c r="AK311" s="819"/>
      <c r="AL311" s="819"/>
      <c r="AM311" s="819"/>
      <c r="AN311" s="819"/>
      <c r="AO311" s="819"/>
      <c r="AP311" s="819"/>
      <c r="AQ311" s="819"/>
      <c r="AR311" s="819"/>
      <c r="AS311" s="819"/>
      <c r="AT311" s="819"/>
      <c r="AU311" s="819"/>
      <c r="AV311" s="819"/>
      <c r="AW311" s="819"/>
      <c r="AX311" s="819"/>
      <c r="AY311" s="819"/>
      <c r="AZ311" s="819"/>
      <c r="BA311" s="819"/>
    </row>
    <row r="312" spans="2:53" ht="14.1" customHeight="1">
      <c r="B312" s="819"/>
      <c r="C312" s="2104" t="s">
        <v>1485</v>
      </c>
      <c r="D312" s="2105"/>
      <c r="E312" s="1342"/>
      <c r="F312" s="1342"/>
      <c r="G312" s="1342"/>
      <c r="H312" s="1342"/>
      <c r="I312" s="1342"/>
      <c r="J312" s="1342"/>
      <c r="K312" s="1342"/>
      <c r="L312" s="1342"/>
      <c r="M312" s="1342"/>
      <c r="N312" s="1342"/>
      <c r="O312" s="1342"/>
      <c r="P312" s="1342"/>
      <c r="Q312" s="1342"/>
      <c r="R312" s="1342"/>
      <c r="S312" s="1342"/>
      <c r="T312" s="1342"/>
      <c r="U312" s="1342"/>
      <c r="V312" s="1342"/>
      <c r="W312" s="1342"/>
      <c r="X312" s="1342"/>
      <c r="Y312" s="1342"/>
      <c r="Z312" s="1342"/>
      <c r="AA312" s="1342"/>
      <c r="AB312" s="1401"/>
      <c r="AC312" s="819"/>
      <c r="AE312" s="819"/>
      <c r="AF312" s="819"/>
      <c r="AG312" s="819"/>
      <c r="AH312" s="819"/>
      <c r="AI312" s="819"/>
      <c r="AJ312" s="819"/>
      <c r="AK312" s="819"/>
      <c r="AL312" s="819"/>
      <c r="AM312" s="819"/>
      <c r="AN312" s="819"/>
      <c r="AO312" s="819"/>
      <c r="AP312" s="819"/>
      <c r="AQ312" s="819"/>
      <c r="AR312" s="819"/>
      <c r="AS312" s="819"/>
      <c r="AT312" s="819"/>
      <c r="AU312" s="819"/>
      <c r="AV312" s="819"/>
      <c r="AW312" s="819"/>
      <c r="AX312" s="819"/>
      <c r="AY312" s="819"/>
      <c r="AZ312" s="819"/>
      <c r="BA312" s="819"/>
    </row>
    <row r="313" spans="2:53" ht="14.1" customHeight="1">
      <c r="B313" s="819"/>
      <c r="C313" s="819"/>
      <c r="D313" s="2093" t="s">
        <v>1510</v>
      </c>
      <c r="E313" s="2093"/>
      <c r="F313" s="2093"/>
      <c r="G313" s="2093"/>
      <c r="H313" s="2093"/>
      <c r="I313" s="2093"/>
      <c r="J313" s="2093"/>
      <c r="K313" s="2093"/>
      <c r="L313" s="2093"/>
      <c r="M313" s="2093"/>
      <c r="N313" s="2093"/>
      <c r="O313" s="2093"/>
      <c r="P313" s="2093"/>
      <c r="Q313" s="2093"/>
      <c r="R313" s="2093"/>
      <c r="S313" s="2093"/>
      <c r="T313" s="2093"/>
      <c r="U313" s="2093"/>
      <c r="V313" s="2093"/>
      <c r="W313" s="2093"/>
      <c r="X313" s="2093"/>
      <c r="Y313" s="2093"/>
      <c r="Z313" s="2093"/>
      <c r="AA313" s="2093"/>
      <c r="AB313" s="2093"/>
      <c r="AC313" s="2093"/>
      <c r="AE313" s="819"/>
      <c r="AF313" s="819"/>
      <c r="AG313" s="819"/>
      <c r="AH313" s="819"/>
      <c r="AI313" s="819"/>
      <c r="AJ313" s="819"/>
      <c r="AK313" s="819"/>
      <c r="AL313" s="819"/>
      <c r="AM313" s="819"/>
      <c r="AN313" s="819"/>
      <c r="AO313" s="819"/>
      <c r="AP313" s="819"/>
      <c r="AQ313" s="819"/>
      <c r="AR313" s="819"/>
      <c r="AS313" s="819"/>
      <c r="AT313" s="819"/>
      <c r="AU313" s="819"/>
      <c r="AV313" s="819"/>
      <c r="AW313" s="819"/>
      <c r="AX313" s="819"/>
      <c r="AY313" s="819"/>
      <c r="AZ313" s="819"/>
      <c r="BA313" s="819"/>
    </row>
    <row r="314" spans="2:53" ht="14.1" customHeight="1">
      <c r="B314" s="819"/>
      <c r="C314" s="819"/>
      <c r="D314" s="2093"/>
      <c r="E314" s="2093"/>
      <c r="F314" s="2093"/>
      <c r="G314" s="2093"/>
      <c r="H314" s="2093"/>
      <c r="I314" s="2093"/>
      <c r="J314" s="2093"/>
      <c r="K314" s="2093"/>
      <c r="L314" s="2093"/>
      <c r="M314" s="2093"/>
      <c r="N314" s="2093"/>
      <c r="O314" s="2093"/>
      <c r="P314" s="2093"/>
      <c r="Q314" s="2093"/>
      <c r="R314" s="2093"/>
      <c r="S314" s="2093"/>
      <c r="T314" s="2093"/>
      <c r="U314" s="2093"/>
      <c r="V314" s="2093"/>
      <c r="W314" s="2093"/>
      <c r="X314" s="2093"/>
      <c r="Y314" s="2093"/>
      <c r="Z314" s="2093"/>
      <c r="AA314" s="2093"/>
      <c r="AB314" s="2093"/>
      <c r="AC314" s="2093"/>
      <c r="AE314" s="819"/>
      <c r="AF314" s="819"/>
      <c r="AG314" s="819"/>
      <c r="AH314" s="819"/>
      <c r="AI314" s="819"/>
      <c r="AJ314" s="819"/>
      <c r="AK314" s="819"/>
      <c r="AL314" s="819"/>
      <c r="AM314" s="819"/>
      <c r="AN314" s="819"/>
      <c r="AO314" s="819"/>
      <c r="AP314" s="819"/>
      <c r="AQ314" s="819"/>
      <c r="AR314" s="819"/>
      <c r="AS314" s="819"/>
      <c r="AT314" s="819"/>
      <c r="AU314" s="819"/>
      <c r="AV314" s="819"/>
      <c r="AW314" s="819"/>
      <c r="AX314" s="819"/>
      <c r="AY314" s="819"/>
      <c r="AZ314" s="819"/>
      <c r="BA314" s="819"/>
    </row>
    <row r="315" spans="2:53" ht="14.1" customHeight="1">
      <c r="B315" s="819"/>
      <c r="C315" s="819"/>
      <c r="D315" s="2093"/>
      <c r="E315" s="2093"/>
      <c r="F315" s="2093"/>
      <c r="G315" s="2093"/>
      <c r="H315" s="2093"/>
      <c r="I315" s="2093"/>
      <c r="J315" s="2093"/>
      <c r="K315" s="2093"/>
      <c r="L315" s="2093"/>
      <c r="M315" s="2093"/>
      <c r="N315" s="2093"/>
      <c r="O315" s="2093"/>
      <c r="P315" s="2093"/>
      <c r="Q315" s="2093"/>
      <c r="R315" s="2093"/>
      <c r="S315" s="2093"/>
      <c r="T315" s="2093"/>
      <c r="U315" s="2093"/>
      <c r="V315" s="2093"/>
      <c r="W315" s="2093"/>
      <c r="X315" s="2093"/>
      <c r="Y315" s="2093"/>
      <c r="Z315" s="2093"/>
      <c r="AA315" s="2093"/>
      <c r="AB315" s="2093"/>
      <c r="AC315" s="2093"/>
      <c r="AE315" s="819"/>
      <c r="AF315" s="819"/>
      <c r="AG315" s="819"/>
      <c r="AH315" s="819"/>
      <c r="AI315" s="819"/>
      <c r="AJ315" s="819"/>
      <c r="AK315" s="819"/>
      <c r="AL315" s="819"/>
      <c r="AM315" s="819"/>
      <c r="AN315" s="819"/>
      <c r="AO315" s="819"/>
      <c r="AP315" s="819"/>
      <c r="AQ315" s="819"/>
      <c r="AR315" s="819"/>
      <c r="AS315" s="819"/>
      <c r="AT315" s="819"/>
      <c r="AU315" s="819"/>
      <c r="AV315" s="819"/>
      <c r="AW315" s="819"/>
      <c r="AX315" s="819"/>
      <c r="AY315" s="819"/>
      <c r="AZ315" s="819"/>
      <c r="BA315" s="819"/>
    </row>
    <row r="316" spans="2:53" ht="14.1" customHeight="1">
      <c r="B316" s="819"/>
      <c r="C316" s="819"/>
      <c r="D316" s="2093"/>
      <c r="E316" s="2093"/>
      <c r="F316" s="2093"/>
      <c r="G316" s="2093"/>
      <c r="H316" s="2093"/>
      <c r="I316" s="2093"/>
      <c r="J316" s="2093"/>
      <c r="K316" s="2093"/>
      <c r="L316" s="2093"/>
      <c r="M316" s="2093"/>
      <c r="N316" s="2093"/>
      <c r="O316" s="2093"/>
      <c r="P316" s="2093"/>
      <c r="Q316" s="2093"/>
      <c r="R316" s="2093"/>
      <c r="S316" s="2093"/>
      <c r="T316" s="2093"/>
      <c r="U316" s="2093"/>
      <c r="V316" s="2093"/>
      <c r="W316" s="2093"/>
      <c r="X316" s="2093"/>
      <c r="Y316" s="2093"/>
      <c r="Z316" s="2093"/>
      <c r="AA316" s="2093"/>
      <c r="AB316" s="2093"/>
      <c r="AC316" s="2093"/>
      <c r="AE316" s="819"/>
      <c r="AF316" s="819"/>
      <c r="AG316" s="819"/>
      <c r="AH316" s="819"/>
      <c r="AI316" s="819"/>
      <c r="AJ316" s="819"/>
      <c r="AK316" s="819"/>
      <c r="AL316" s="819"/>
      <c r="AM316" s="819"/>
      <c r="AN316" s="819"/>
      <c r="AO316" s="819"/>
      <c r="AP316" s="819"/>
      <c r="AQ316" s="819"/>
      <c r="AR316" s="819"/>
      <c r="AS316" s="819"/>
      <c r="AT316" s="819"/>
      <c r="AU316" s="819"/>
      <c r="AV316" s="819"/>
      <c r="AW316" s="819"/>
      <c r="AX316" s="819"/>
      <c r="AY316" s="819"/>
      <c r="AZ316" s="819"/>
      <c r="BA316" s="819"/>
    </row>
    <row r="317" spans="2:53" ht="14.1" customHeight="1">
      <c r="B317" s="819"/>
      <c r="C317" s="819"/>
      <c r="D317" s="2093"/>
      <c r="E317" s="2093"/>
      <c r="F317" s="2093"/>
      <c r="G317" s="2093"/>
      <c r="H317" s="2093"/>
      <c r="I317" s="2093"/>
      <c r="J317" s="2093"/>
      <c r="K317" s="2093"/>
      <c r="L317" s="2093"/>
      <c r="M317" s="2093"/>
      <c r="N317" s="2093"/>
      <c r="O317" s="2093"/>
      <c r="P317" s="2093"/>
      <c r="Q317" s="2093"/>
      <c r="R317" s="2093"/>
      <c r="S317" s="2093"/>
      <c r="T317" s="2093"/>
      <c r="U317" s="2093"/>
      <c r="V317" s="2093"/>
      <c r="W317" s="2093"/>
      <c r="X317" s="2093"/>
      <c r="Y317" s="2093"/>
      <c r="Z317" s="2093"/>
      <c r="AA317" s="2093"/>
      <c r="AB317" s="2093"/>
      <c r="AC317" s="2093"/>
      <c r="AE317" s="819"/>
      <c r="AF317" s="819"/>
      <c r="AG317" s="819"/>
      <c r="AH317" s="819"/>
      <c r="AI317" s="819"/>
      <c r="AJ317" s="819"/>
      <c r="AK317" s="819"/>
      <c r="AL317" s="819"/>
      <c r="AM317" s="819"/>
      <c r="AN317" s="819"/>
      <c r="AO317" s="819"/>
      <c r="AP317" s="819"/>
      <c r="AQ317" s="819"/>
      <c r="AR317" s="819"/>
      <c r="AS317" s="819"/>
      <c r="AT317" s="819"/>
      <c r="AU317" s="819"/>
      <c r="AV317" s="819"/>
      <c r="AW317" s="819"/>
      <c r="AX317" s="819"/>
      <c r="AY317" s="819"/>
      <c r="AZ317" s="819"/>
      <c r="BA317" s="819"/>
    </row>
    <row r="318" spans="2:53" ht="14.1" customHeight="1">
      <c r="B318" s="819"/>
      <c r="C318" s="819"/>
      <c r="D318" s="2093"/>
      <c r="E318" s="2093"/>
      <c r="F318" s="2093"/>
      <c r="G318" s="2093"/>
      <c r="H318" s="2093"/>
      <c r="I318" s="2093"/>
      <c r="J318" s="2093"/>
      <c r="K318" s="2093"/>
      <c r="L318" s="2093"/>
      <c r="M318" s="2093"/>
      <c r="N318" s="2093"/>
      <c r="O318" s="2093"/>
      <c r="P318" s="2093"/>
      <c r="Q318" s="2093"/>
      <c r="R318" s="2093"/>
      <c r="S318" s="2093"/>
      <c r="T318" s="2093"/>
      <c r="U318" s="2093"/>
      <c r="V318" s="2093"/>
      <c r="W318" s="2093"/>
      <c r="X318" s="2093"/>
      <c r="Y318" s="2093"/>
      <c r="Z318" s="2093"/>
      <c r="AA318" s="2093"/>
      <c r="AB318" s="2093"/>
      <c r="AC318" s="2093"/>
      <c r="AE318" s="819"/>
      <c r="AF318" s="819"/>
      <c r="AG318" s="819"/>
      <c r="AH318" s="819"/>
      <c r="AI318" s="819"/>
      <c r="AJ318" s="819"/>
      <c r="AK318" s="819"/>
      <c r="AL318" s="819"/>
      <c r="AM318" s="819"/>
      <c r="AN318" s="819"/>
      <c r="AO318" s="819"/>
      <c r="AP318" s="819"/>
      <c r="AQ318" s="819"/>
      <c r="AR318" s="819"/>
      <c r="AS318" s="819"/>
      <c r="AT318" s="819"/>
      <c r="AU318" s="819"/>
      <c r="AV318" s="819"/>
      <c r="AW318" s="819"/>
      <c r="AX318" s="819"/>
      <c r="AY318" s="819"/>
      <c r="AZ318" s="819"/>
      <c r="BA318" s="819"/>
    </row>
    <row r="319" spans="2:53" ht="14.1" customHeight="1">
      <c r="B319" s="819"/>
      <c r="C319" s="819"/>
      <c r="D319" s="2093"/>
      <c r="E319" s="2093"/>
      <c r="F319" s="2093"/>
      <c r="G319" s="2093"/>
      <c r="H319" s="2093"/>
      <c r="I319" s="2093"/>
      <c r="J319" s="2093"/>
      <c r="K319" s="2093"/>
      <c r="L319" s="2093"/>
      <c r="M319" s="2093"/>
      <c r="N319" s="2093"/>
      <c r="O319" s="2093"/>
      <c r="P319" s="2093"/>
      <c r="Q319" s="2093"/>
      <c r="R319" s="2093"/>
      <c r="S319" s="2093"/>
      <c r="T319" s="2093"/>
      <c r="U319" s="2093"/>
      <c r="V319" s="2093"/>
      <c r="W319" s="2093"/>
      <c r="X319" s="2093"/>
      <c r="Y319" s="2093"/>
      <c r="Z319" s="2093"/>
      <c r="AA319" s="2093"/>
      <c r="AB319" s="2093"/>
      <c r="AC319" s="2093"/>
      <c r="AE319" s="819"/>
      <c r="AF319" s="819"/>
      <c r="AG319" s="819"/>
      <c r="AH319" s="819"/>
      <c r="AI319" s="819"/>
      <c r="AJ319" s="819"/>
      <c r="AK319" s="819"/>
      <c r="AL319" s="819"/>
      <c r="AM319" s="819"/>
      <c r="AN319" s="819"/>
      <c r="AO319" s="819"/>
      <c r="AP319" s="819"/>
      <c r="AQ319" s="819"/>
      <c r="AR319" s="819"/>
      <c r="AS319" s="819"/>
      <c r="AT319" s="819"/>
      <c r="AU319" s="819"/>
      <c r="AV319" s="819"/>
      <c r="AW319" s="819"/>
      <c r="AX319" s="819"/>
      <c r="AY319" s="819"/>
      <c r="AZ319" s="819"/>
      <c r="BA319" s="819"/>
    </row>
    <row r="320" spans="2:53" ht="14.1" customHeight="1">
      <c r="B320" s="819"/>
      <c r="C320" s="819"/>
      <c r="D320" s="2093"/>
      <c r="E320" s="2093"/>
      <c r="F320" s="2093"/>
      <c r="G320" s="2093"/>
      <c r="H320" s="2093"/>
      <c r="I320" s="2093"/>
      <c r="J320" s="2093"/>
      <c r="K320" s="2093"/>
      <c r="L320" s="2093"/>
      <c r="M320" s="2093"/>
      <c r="N320" s="2093"/>
      <c r="O320" s="2093"/>
      <c r="P320" s="2093"/>
      <c r="Q320" s="2093"/>
      <c r="R320" s="2093"/>
      <c r="S320" s="2093"/>
      <c r="T320" s="2093"/>
      <c r="U320" s="2093"/>
      <c r="V320" s="2093"/>
      <c r="W320" s="2093"/>
      <c r="X320" s="2093"/>
      <c r="Y320" s="2093"/>
      <c r="Z320" s="2093"/>
      <c r="AA320" s="2093"/>
      <c r="AB320" s="2093"/>
      <c r="AC320" s="2093"/>
      <c r="AE320" s="819"/>
      <c r="AF320" s="819"/>
      <c r="AG320" s="819"/>
      <c r="AH320" s="819"/>
      <c r="AI320" s="819"/>
      <c r="AJ320" s="819"/>
      <c r="AK320" s="819"/>
      <c r="AL320" s="819"/>
      <c r="AM320" s="819"/>
      <c r="AN320" s="819"/>
      <c r="AO320" s="819"/>
      <c r="AP320" s="819"/>
      <c r="AQ320" s="819"/>
      <c r="AR320" s="819"/>
      <c r="AS320" s="819"/>
      <c r="AT320" s="819"/>
      <c r="AU320" s="819"/>
      <c r="AV320" s="819"/>
      <c r="AW320" s="819"/>
      <c r="AX320" s="819"/>
      <c r="AY320" s="819"/>
      <c r="AZ320" s="819"/>
      <c r="BA320" s="819"/>
    </row>
    <row r="321" spans="1:57" ht="14.1" customHeight="1" thickBot="1">
      <c r="A321" s="555"/>
      <c r="B321" s="1323"/>
      <c r="C321" s="1323"/>
      <c r="D321" s="1331"/>
      <c r="E321" s="1331"/>
      <c r="F321" s="1331"/>
      <c r="G321" s="1331"/>
      <c r="H321" s="1331"/>
      <c r="I321" s="1331"/>
      <c r="J321" s="1331"/>
      <c r="K321" s="1331"/>
      <c r="L321" s="1331"/>
      <c r="M321" s="1331"/>
      <c r="N321" s="1331"/>
      <c r="O321" s="1331"/>
      <c r="P321" s="1331"/>
      <c r="Q321" s="1331"/>
      <c r="R321" s="1331"/>
      <c r="S321" s="1331"/>
      <c r="T321" s="1331"/>
      <c r="U321" s="1331"/>
      <c r="V321" s="1331"/>
      <c r="W321" s="1331"/>
      <c r="X321" s="1331"/>
      <c r="Y321" s="1331"/>
      <c r="Z321" s="1331"/>
      <c r="AA321" s="1331"/>
      <c r="AB321" s="1331"/>
      <c r="AC321" s="819"/>
      <c r="AE321" s="819"/>
      <c r="AF321" s="819"/>
      <c r="AG321" s="819"/>
      <c r="AH321" s="819"/>
      <c r="AI321" s="819"/>
      <c r="AJ321" s="819"/>
      <c r="AK321" s="819"/>
      <c r="AL321" s="819"/>
      <c r="AM321" s="819"/>
      <c r="AN321" s="819"/>
      <c r="AO321" s="819"/>
      <c r="AP321" s="819"/>
      <c r="AQ321" s="819"/>
      <c r="AR321" s="819"/>
      <c r="AS321" s="819"/>
      <c r="AT321" s="819"/>
      <c r="AU321" s="819"/>
      <c r="AV321" s="819"/>
      <c r="AW321" s="819"/>
      <c r="AX321" s="819"/>
      <c r="AY321" s="819"/>
      <c r="AZ321" s="819"/>
      <c r="BA321" s="819"/>
      <c r="BC321" s="819"/>
      <c r="BD321" s="819"/>
      <c r="BE321" s="819"/>
    </row>
    <row r="322" spans="1:57" ht="14.1" customHeight="1" thickTop="1">
      <c r="A322" s="556"/>
      <c r="B322" s="1324"/>
      <c r="C322" s="819"/>
      <c r="D322" s="819"/>
      <c r="E322" s="819"/>
      <c r="F322" s="819"/>
      <c r="G322" s="819"/>
      <c r="H322" s="819"/>
      <c r="I322" s="819"/>
      <c r="J322" s="819"/>
      <c r="K322" s="819"/>
      <c r="L322" s="819"/>
      <c r="M322" s="819"/>
      <c r="N322" s="819"/>
      <c r="O322" s="819"/>
      <c r="P322" s="819"/>
      <c r="Q322" s="819"/>
      <c r="R322" s="819"/>
      <c r="S322" s="819"/>
      <c r="T322" s="819"/>
      <c r="U322" s="819"/>
      <c r="V322" s="819"/>
      <c r="W322" s="819"/>
      <c r="X322" s="819"/>
      <c r="Y322" s="819"/>
      <c r="Z322" s="819"/>
      <c r="AA322" s="819"/>
      <c r="AB322" s="819"/>
      <c r="AC322" s="819"/>
      <c r="AE322" s="819"/>
      <c r="AF322" s="819"/>
      <c r="AG322" s="819"/>
      <c r="AH322" s="819"/>
      <c r="AI322" s="819"/>
      <c r="AJ322" s="819"/>
      <c r="AK322" s="819"/>
      <c r="AL322" s="819"/>
      <c r="AM322" s="819"/>
      <c r="AN322" s="819"/>
      <c r="AO322" s="819"/>
      <c r="AP322" s="819"/>
      <c r="AQ322" s="819"/>
      <c r="AR322" s="819"/>
      <c r="AS322" s="819"/>
      <c r="AT322" s="819"/>
      <c r="AU322" s="819"/>
      <c r="AV322" s="819"/>
      <c r="AW322" s="819"/>
      <c r="AX322" s="819"/>
      <c r="AY322" s="819"/>
      <c r="AZ322" s="819"/>
      <c r="BA322" s="819"/>
      <c r="BC322" s="819"/>
      <c r="BD322" s="819"/>
      <c r="BE322" s="819"/>
    </row>
    <row r="323" spans="1:57" ht="14.1" customHeight="1">
      <c r="A323" s="2021" t="s">
        <v>1511</v>
      </c>
      <c r="B323" s="2021"/>
      <c r="C323" s="2021"/>
      <c r="D323" s="2021"/>
      <c r="E323" s="2021"/>
      <c r="F323" s="2021"/>
      <c r="G323" s="2021"/>
      <c r="H323" s="2021"/>
      <c r="I323" s="2021"/>
      <c r="J323" s="2021"/>
      <c r="K323" s="2021"/>
      <c r="L323" s="2021"/>
      <c r="M323" s="2021"/>
      <c r="N323" s="2021"/>
      <c r="O323" s="2021"/>
      <c r="P323" s="2021"/>
      <c r="Q323" s="2021"/>
      <c r="R323" s="2021"/>
      <c r="S323" s="2021"/>
      <c r="T323" s="2021"/>
      <c r="U323" s="819"/>
      <c r="V323" s="819"/>
      <c r="W323" s="819"/>
      <c r="X323" s="819"/>
      <c r="Y323" s="819"/>
      <c r="Z323" s="819"/>
      <c r="AA323" s="819"/>
      <c r="AB323" s="819"/>
      <c r="AC323" s="819"/>
      <c r="AE323" s="819"/>
      <c r="AF323" s="819"/>
      <c r="AG323" s="819"/>
      <c r="AH323" s="819"/>
      <c r="AI323" s="819"/>
      <c r="AJ323" s="819"/>
      <c r="AK323" s="819"/>
      <c r="AL323" s="819"/>
      <c r="AM323" s="819"/>
      <c r="AN323" s="819"/>
      <c r="AO323" s="819"/>
      <c r="AP323" s="819"/>
      <c r="AQ323" s="819"/>
      <c r="AR323" s="819"/>
      <c r="AS323" s="819"/>
      <c r="AT323" s="819"/>
      <c r="AU323" s="819"/>
      <c r="AV323" s="819"/>
      <c r="AW323" s="819"/>
      <c r="AX323" s="819"/>
      <c r="AY323" s="819"/>
      <c r="AZ323" s="819"/>
      <c r="BA323" s="819"/>
      <c r="BC323" s="819"/>
      <c r="BD323" s="819"/>
      <c r="BE323" s="819"/>
    </row>
    <row r="324" spans="1:57" ht="14.1" customHeight="1">
      <c r="A324" s="1402"/>
      <c r="B324" s="1402"/>
      <c r="C324" s="1402"/>
      <c r="D324" s="1402"/>
      <c r="E324" s="1402"/>
      <c r="F324" s="1402"/>
      <c r="G324" s="1402"/>
      <c r="H324" s="1402"/>
      <c r="I324" s="1402"/>
      <c r="J324" s="1402"/>
      <c r="K324" s="1402"/>
      <c r="L324" s="1402"/>
      <c r="M324" s="1402"/>
      <c r="N324" s="1402"/>
      <c r="O324" s="1402"/>
      <c r="P324" s="1402"/>
      <c r="Q324" s="1402"/>
      <c r="R324" s="1402"/>
      <c r="S324" s="1402"/>
      <c r="T324" s="1402"/>
      <c r="U324" s="819"/>
      <c r="V324" s="819"/>
      <c r="W324" s="819"/>
      <c r="X324" s="819"/>
      <c r="Y324" s="819"/>
      <c r="Z324" s="819"/>
      <c r="AA324" s="819"/>
      <c r="AB324" s="819"/>
      <c r="AC324" s="819"/>
      <c r="AE324" s="819"/>
      <c r="AF324" s="819"/>
      <c r="AG324" s="819"/>
      <c r="AH324" s="819"/>
      <c r="AI324" s="819"/>
      <c r="AJ324" s="819"/>
      <c r="AK324" s="819"/>
      <c r="AL324" s="819"/>
      <c r="AM324" s="819"/>
      <c r="AN324" s="819"/>
      <c r="AO324" s="819"/>
      <c r="AP324" s="819"/>
      <c r="AQ324" s="819"/>
      <c r="AR324" s="819"/>
      <c r="AS324" s="819"/>
      <c r="AT324" s="819"/>
      <c r="AU324" s="819"/>
      <c r="AV324" s="819"/>
      <c r="AW324" s="819"/>
      <c r="AX324" s="819"/>
      <c r="AY324" s="819"/>
      <c r="AZ324" s="819"/>
      <c r="BA324" s="819"/>
      <c r="BC324" s="819"/>
      <c r="BD324" s="819"/>
      <c r="BE324" s="819"/>
    </row>
    <row r="325" spans="1:57" ht="14.1" customHeight="1">
      <c r="R325" s="1402"/>
      <c r="AC325" s="819"/>
      <c r="AE325" s="819"/>
      <c r="AF325" s="819"/>
      <c r="AG325" s="819"/>
      <c r="AH325" s="819"/>
      <c r="AI325" s="819"/>
      <c r="AJ325" s="819"/>
      <c r="AK325" s="819"/>
      <c r="AL325" s="819"/>
      <c r="AM325" s="819"/>
      <c r="AN325" s="819"/>
      <c r="AO325" s="819"/>
      <c r="AP325" s="819"/>
      <c r="AQ325" s="819"/>
      <c r="AR325" s="819"/>
      <c r="AS325" s="819"/>
      <c r="AT325" s="819"/>
      <c r="AU325" s="819"/>
      <c r="AV325" s="819"/>
      <c r="AW325" s="819"/>
      <c r="AX325" s="819"/>
      <c r="AY325" s="819"/>
      <c r="AZ325" s="819"/>
      <c r="BB325" s="819"/>
      <c r="BC325" s="819"/>
      <c r="BD325" s="819"/>
      <c r="BE325" s="819"/>
    </row>
    <row r="326" spans="1:57" ht="14.1" customHeight="1" thickBot="1">
      <c r="C326" s="548"/>
      <c r="R326" s="552"/>
      <c r="AC326" s="819"/>
      <c r="AE326" s="819"/>
      <c r="AF326" s="819"/>
      <c r="AG326" s="819"/>
      <c r="AH326" s="819"/>
      <c r="AI326" s="819"/>
      <c r="AJ326" s="819"/>
      <c r="AK326" s="819"/>
      <c r="AL326" s="819"/>
      <c r="AM326" s="819"/>
      <c r="AN326" s="819"/>
      <c r="AO326" s="819"/>
      <c r="AP326" s="819"/>
      <c r="AQ326" s="819"/>
      <c r="AR326" s="819"/>
      <c r="AS326" s="819"/>
      <c r="AT326" s="819"/>
      <c r="AU326" s="819"/>
      <c r="AV326" s="819"/>
      <c r="AW326" s="819"/>
      <c r="AX326" s="819"/>
      <c r="AY326" s="819"/>
      <c r="AZ326" s="819"/>
      <c r="BB326" s="819"/>
      <c r="BC326" s="819"/>
      <c r="BD326" s="819"/>
      <c r="BE326" s="819"/>
    </row>
    <row r="327" spans="1:57" ht="14.1" customHeight="1" thickTop="1" thickBot="1">
      <c r="C327" s="548"/>
      <c r="E327" s="2009" t="s">
        <v>1483</v>
      </c>
      <c r="F327" s="549"/>
      <c r="G327" s="1332"/>
      <c r="H327" s="1332"/>
      <c r="I327" s="1332"/>
      <c r="J327" s="2022" t="s">
        <v>1512</v>
      </c>
      <c r="K327" s="557"/>
      <c r="L327" s="1334"/>
      <c r="M327" s="1407"/>
      <c r="N327" s="1335"/>
      <c r="O327" s="2022" t="s">
        <v>512</v>
      </c>
      <c r="P327" s="1332"/>
      <c r="Q327" s="1332"/>
      <c r="R327" s="552"/>
      <c r="AC327" s="819"/>
      <c r="AE327" s="819"/>
      <c r="AF327" s="819"/>
      <c r="AG327" s="819"/>
      <c r="AH327" s="819"/>
      <c r="AI327" s="819"/>
      <c r="AJ327" s="819"/>
      <c r="AK327" s="819"/>
      <c r="AL327" s="819"/>
      <c r="AM327" s="819"/>
      <c r="AN327" s="819"/>
      <c r="AO327" s="819"/>
      <c r="AP327" s="819"/>
      <c r="AQ327" s="819"/>
      <c r="AR327" s="819"/>
      <c r="AS327" s="819"/>
      <c r="AT327" s="819"/>
      <c r="AU327" s="819"/>
      <c r="AV327" s="819"/>
      <c r="AW327" s="819"/>
      <c r="AX327" s="819"/>
      <c r="AY327" s="819"/>
      <c r="AZ327" s="819"/>
      <c r="BB327" s="819"/>
      <c r="BC327" s="819"/>
      <c r="BD327" s="819"/>
      <c r="BE327" s="819"/>
    </row>
    <row r="328" spans="1:57" ht="14.1" customHeight="1" thickTop="1" thickBot="1">
      <c r="C328" s="558"/>
      <c r="D328" s="569"/>
      <c r="E328" s="2010"/>
      <c r="G328" s="554"/>
      <c r="J328" s="2023"/>
      <c r="L328" s="561"/>
      <c r="M328" s="562"/>
      <c r="O328" s="2023"/>
      <c r="R328" s="552"/>
      <c r="AC328" s="819"/>
      <c r="AE328" s="819"/>
      <c r="AF328" s="819"/>
      <c r="AG328" s="819"/>
      <c r="AH328" s="819"/>
      <c r="AI328" s="819"/>
      <c r="AJ328" s="819"/>
      <c r="AK328" s="819"/>
      <c r="AL328" s="819"/>
      <c r="AM328" s="819"/>
      <c r="AN328" s="819"/>
      <c r="AO328" s="819"/>
      <c r="AP328" s="819"/>
      <c r="AQ328" s="819"/>
      <c r="AR328" s="819"/>
      <c r="AS328" s="819"/>
      <c r="AT328" s="819"/>
      <c r="AU328" s="819"/>
      <c r="AV328" s="819"/>
      <c r="AW328" s="819"/>
      <c r="AX328" s="819"/>
      <c r="AY328" s="819"/>
      <c r="AZ328" s="819"/>
      <c r="BB328" s="819"/>
      <c r="BC328" s="819"/>
      <c r="BD328" s="819"/>
      <c r="BE328" s="819"/>
    </row>
    <row r="329" spans="1:57" ht="14.1" customHeight="1" thickTop="1">
      <c r="C329" s="548"/>
      <c r="G329" s="554"/>
      <c r="L329" s="563"/>
      <c r="M329" s="564"/>
      <c r="R329" s="552"/>
      <c r="AC329" s="819"/>
      <c r="AE329" s="819"/>
      <c r="AF329" s="819"/>
      <c r="AG329" s="819"/>
      <c r="AH329" s="819"/>
      <c r="AI329" s="819"/>
      <c r="AJ329" s="819"/>
      <c r="AK329" s="819"/>
      <c r="AL329" s="819"/>
      <c r="AM329" s="819"/>
      <c r="AN329" s="819"/>
      <c r="AO329" s="819"/>
      <c r="AP329" s="819"/>
      <c r="AQ329" s="819"/>
      <c r="AR329" s="819"/>
      <c r="AS329" s="819"/>
      <c r="AT329" s="819"/>
      <c r="AU329" s="819"/>
      <c r="AV329" s="819"/>
      <c r="AW329" s="819"/>
      <c r="AX329" s="819"/>
      <c r="AY329" s="819"/>
      <c r="AZ329" s="819"/>
      <c r="BB329" s="819"/>
      <c r="BC329" s="819"/>
      <c r="BD329" s="819"/>
      <c r="BE329" s="819"/>
    </row>
    <row r="330" spans="1:57" ht="14.1" customHeight="1">
      <c r="C330" s="548"/>
      <c r="G330" s="554"/>
      <c r="L330" s="565"/>
      <c r="M330" s="566"/>
      <c r="R330" s="552"/>
      <c r="AC330" s="819"/>
      <c r="AE330" s="819"/>
      <c r="AF330" s="819"/>
      <c r="AG330" s="819"/>
      <c r="AH330" s="819"/>
      <c r="AI330" s="819"/>
      <c r="AJ330" s="819"/>
      <c r="AK330" s="819"/>
      <c r="AL330" s="819"/>
      <c r="AM330" s="819"/>
      <c r="AN330" s="819"/>
      <c r="AO330" s="819"/>
      <c r="AP330" s="819"/>
      <c r="AQ330" s="819"/>
      <c r="AR330" s="819"/>
      <c r="AS330" s="819"/>
      <c r="AT330" s="819"/>
      <c r="AU330" s="819"/>
      <c r="AV330" s="819"/>
      <c r="AW330" s="819"/>
      <c r="AX330" s="819"/>
      <c r="AY330" s="819"/>
      <c r="AZ330" s="819"/>
      <c r="BB330" s="819"/>
      <c r="BC330" s="819"/>
      <c r="BD330" s="819"/>
      <c r="BE330" s="819"/>
    </row>
    <row r="331" spans="1:57" ht="14.1" customHeight="1">
      <c r="C331" s="548"/>
      <c r="G331" s="2012" t="s">
        <v>1513</v>
      </c>
      <c r="H331" s="2012"/>
      <c r="L331" s="811" t="s">
        <v>1514</v>
      </c>
      <c r="M331" s="811"/>
      <c r="N331" s="811"/>
      <c r="O331" s="811"/>
      <c r="R331" s="552"/>
      <c r="AC331" s="819"/>
      <c r="AE331" s="819"/>
      <c r="AF331" s="819"/>
      <c r="AG331" s="819"/>
      <c r="AH331" s="819"/>
      <c r="AI331" s="819"/>
      <c r="AJ331" s="819"/>
      <c r="AK331" s="819"/>
      <c r="AL331" s="819"/>
      <c r="AM331" s="819"/>
      <c r="AN331" s="819"/>
      <c r="AO331" s="819"/>
      <c r="AP331" s="819"/>
      <c r="AQ331" s="819"/>
      <c r="AR331" s="819"/>
      <c r="AS331" s="819"/>
      <c r="AT331" s="819"/>
      <c r="AU331" s="819"/>
      <c r="AV331" s="819"/>
      <c r="AW331" s="819"/>
      <c r="AX331" s="819"/>
      <c r="AY331" s="819"/>
      <c r="AZ331" s="819"/>
      <c r="BB331" s="819"/>
      <c r="BC331" s="819"/>
      <c r="BD331" s="819"/>
      <c r="BE331" s="819"/>
    </row>
    <row r="332" spans="1:57" ht="13.8" thickBot="1">
      <c r="A332" s="1403"/>
      <c r="B332" s="1403"/>
      <c r="C332" s="548"/>
      <c r="D332" s="1403"/>
      <c r="E332" s="1403"/>
      <c r="K332" s="2012" t="s">
        <v>1515</v>
      </c>
      <c r="L332" s="2012"/>
      <c r="M332" s="2012"/>
      <c r="N332" s="2012"/>
      <c r="R332" s="552"/>
      <c r="Z332" s="819"/>
      <c r="AA332" s="819"/>
      <c r="AB332" s="819"/>
    </row>
    <row r="333" spans="1:57" ht="14.1" customHeight="1" thickTop="1" thickBot="1">
      <c r="A333" s="1403"/>
      <c r="B333" s="1403"/>
      <c r="C333" s="549"/>
      <c r="D333" s="568"/>
      <c r="E333" s="2009" t="s">
        <v>1478</v>
      </c>
      <c r="F333" s="549"/>
      <c r="G333" s="1332"/>
      <c r="H333" s="1332"/>
      <c r="I333" s="1408"/>
      <c r="J333" s="2009" t="s">
        <v>1479</v>
      </c>
      <c r="K333" s="1408"/>
      <c r="L333" s="1332"/>
      <c r="M333" s="1408"/>
      <c r="N333" s="1332"/>
      <c r="O333" s="2009" t="s">
        <v>1481</v>
      </c>
      <c r="P333" s="573"/>
      <c r="Q333" s="568"/>
      <c r="R333" s="1337"/>
      <c r="S333" s="819"/>
      <c r="T333" s="2008"/>
      <c r="U333" s="2008"/>
      <c r="V333" s="533"/>
      <c r="X333" s="819"/>
      <c r="Y333" s="819"/>
      <c r="Z333" s="819"/>
      <c r="AA333" s="819"/>
      <c r="AB333" s="819"/>
      <c r="AC333" s="819"/>
      <c r="AD333" s="609"/>
      <c r="AE333" s="819"/>
      <c r="AF333" s="819"/>
      <c r="AG333" s="819"/>
      <c r="AH333" s="819"/>
      <c r="AI333" s="819"/>
      <c r="AJ333" s="819"/>
      <c r="AK333" s="819"/>
      <c r="AL333" s="819"/>
      <c r="AM333" s="819"/>
      <c r="AN333" s="819"/>
      <c r="AO333" s="819"/>
      <c r="AP333" s="819"/>
      <c r="AQ333" s="819"/>
      <c r="AR333" s="819"/>
      <c r="AS333" s="819"/>
      <c r="AT333" s="819"/>
      <c r="AU333" s="819"/>
      <c r="AV333" s="819"/>
      <c r="AW333" s="819"/>
      <c r="AX333" s="819"/>
      <c r="AY333" s="819"/>
      <c r="AZ333" s="819"/>
      <c r="BA333" s="819"/>
      <c r="BB333" s="819"/>
      <c r="BC333" s="819"/>
      <c r="BD333" s="819"/>
    </row>
    <row r="334" spans="1:57" ht="12.75" customHeight="1" thickTop="1" thickBot="1">
      <c r="A334" s="1403"/>
      <c r="B334" s="1403"/>
      <c r="C334" s="558"/>
      <c r="D334" s="569"/>
      <c r="E334" s="2010"/>
      <c r="G334" s="554"/>
      <c r="J334" s="2010"/>
      <c r="L334" s="554"/>
      <c r="M334" s="1403"/>
      <c r="O334" s="2010"/>
      <c r="P334" s="574"/>
      <c r="Q334" s="553"/>
      <c r="R334" s="552"/>
      <c r="X334" s="819"/>
      <c r="Y334" s="819"/>
      <c r="Z334" s="819"/>
      <c r="AA334" s="819"/>
      <c r="AB334" s="819"/>
      <c r="AC334" s="819"/>
      <c r="AE334" s="819"/>
      <c r="AF334" s="819"/>
      <c r="AG334" s="819"/>
      <c r="AH334" s="819"/>
      <c r="AI334" s="819"/>
      <c r="AJ334" s="819"/>
      <c r="AK334" s="819"/>
      <c r="AL334" s="819"/>
      <c r="AM334" s="819"/>
      <c r="AN334" s="819"/>
      <c r="AO334" s="819"/>
      <c r="AP334" s="819"/>
      <c r="AQ334" s="819"/>
      <c r="AR334" s="819"/>
      <c r="AS334" s="819"/>
      <c r="AT334" s="819"/>
      <c r="AU334" s="819"/>
      <c r="AV334" s="819"/>
      <c r="AW334" s="819"/>
      <c r="AX334" s="819"/>
      <c r="AY334" s="819"/>
      <c r="AZ334" s="819"/>
      <c r="BA334" s="819"/>
      <c r="BB334" s="819"/>
      <c r="BD334" s="819"/>
      <c r="BE334" s="819"/>
    </row>
    <row r="335" spans="1:57" ht="12.75" customHeight="1" thickTop="1">
      <c r="A335" s="1403"/>
      <c r="B335" s="1403"/>
      <c r="C335" s="548"/>
      <c r="D335" s="1403"/>
      <c r="E335" s="1403"/>
      <c r="G335" s="554"/>
      <c r="L335" s="554"/>
      <c r="N335" s="819"/>
      <c r="Q335" s="1403"/>
      <c r="R335" s="548"/>
      <c r="Y335" s="819"/>
      <c r="Z335" s="819"/>
      <c r="AA335" s="819"/>
      <c r="AB335" s="819"/>
      <c r="AC335" s="819"/>
      <c r="AE335" s="819"/>
      <c r="AF335" s="819"/>
      <c r="AG335" s="819"/>
      <c r="AH335" s="819"/>
      <c r="AI335" s="819"/>
      <c r="AJ335" s="819"/>
      <c r="AK335" s="819"/>
      <c r="AL335" s="819"/>
      <c r="AM335" s="819"/>
      <c r="AN335" s="819"/>
      <c r="AO335" s="819"/>
      <c r="AP335" s="819"/>
      <c r="AQ335" s="819"/>
      <c r="AR335" s="819"/>
      <c r="AS335" s="819"/>
      <c r="AT335" s="819"/>
      <c r="AU335" s="819"/>
      <c r="AV335" s="819"/>
      <c r="AW335" s="819"/>
      <c r="AX335" s="819"/>
      <c r="AY335" s="819"/>
      <c r="AZ335" s="819"/>
      <c r="BA335" s="819"/>
      <c r="BB335" s="819"/>
      <c r="BD335" s="819"/>
      <c r="BE335" s="819"/>
    </row>
    <row r="336" spans="1:57" ht="14.1" customHeight="1">
      <c r="C336" s="552"/>
      <c r="G336" s="567"/>
      <c r="H336" s="533"/>
      <c r="L336" s="567"/>
      <c r="M336" s="533"/>
      <c r="N336" s="819"/>
      <c r="R336" s="552"/>
      <c r="AB336" s="819"/>
      <c r="AC336" s="819"/>
      <c r="AD336" s="609"/>
      <c r="AE336" s="819"/>
      <c r="AF336" s="819"/>
      <c r="AG336" s="819"/>
      <c r="AH336" s="819"/>
      <c r="AI336" s="819"/>
      <c r="AJ336" s="819"/>
      <c r="AK336" s="819"/>
      <c r="AL336" s="819"/>
      <c r="AM336" s="819"/>
      <c r="AN336" s="819"/>
      <c r="AO336" s="819"/>
      <c r="AP336" s="819"/>
      <c r="AQ336" s="819"/>
      <c r="AR336" s="819"/>
      <c r="AS336" s="819"/>
      <c r="AT336" s="819"/>
      <c r="AU336" s="819"/>
      <c r="AV336" s="819"/>
      <c r="AW336" s="819"/>
      <c r="AX336" s="819"/>
      <c r="AY336" s="819"/>
      <c r="AZ336" s="819"/>
      <c r="BA336" s="819"/>
      <c r="BB336" s="819"/>
      <c r="BC336" s="819"/>
      <c r="BD336" s="819"/>
    </row>
    <row r="337" spans="1:57">
      <c r="C337" s="552"/>
      <c r="G337" s="2012" t="s">
        <v>338</v>
      </c>
      <c r="H337" s="2012"/>
      <c r="L337" s="2012" t="s">
        <v>1480</v>
      </c>
      <c r="M337" s="2012"/>
      <c r="N337" s="819"/>
      <c r="R337" s="552"/>
      <c r="AB337" s="819"/>
      <c r="AC337" s="819"/>
    </row>
    <row r="338" spans="1:57" ht="13.8" thickBot="1">
      <c r="A338" s="1403"/>
      <c r="B338" s="1403"/>
      <c r="C338" s="548"/>
      <c r="D338" s="1403"/>
      <c r="E338" s="1403"/>
      <c r="R338" s="552"/>
      <c r="Z338" s="819"/>
      <c r="AA338" s="819"/>
      <c r="AB338" s="819"/>
      <c r="AC338" s="819"/>
    </row>
    <row r="339" spans="1:57" ht="14.1" customHeight="1" thickTop="1" thickBot="1">
      <c r="A339" s="1403"/>
      <c r="B339" s="1403"/>
      <c r="C339" s="549"/>
      <c r="D339" s="568"/>
      <c r="E339" s="2015" t="s">
        <v>69</v>
      </c>
      <c r="F339" s="549"/>
      <c r="G339" s="1332"/>
      <c r="H339" s="1332"/>
      <c r="I339" s="1408"/>
      <c r="J339" s="2009" t="s">
        <v>1473</v>
      </c>
      <c r="K339" s="1408"/>
      <c r="L339" s="1332"/>
      <c r="M339" s="1408"/>
      <c r="N339" s="1332"/>
      <c r="O339" s="2009" t="s">
        <v>1475</v>
      </c>
      <c r="P339" s="575"/>
      <c r="Q339" s="568"/>
      <c r="R339" s="1337"/>
      <c r="S339" s="819"/>
      <c r="T339" s="2008"/>
      <c r="U339" s="2008"/>
      <c r="V339" s="533"/>
      <c r="X339" s="819"/>
      <c r="Y339" s="819"/>
      <c r="Z339" s="819"/>
      <c r="AA339" s="819"/>
      <c r="AB339" s="819"/>
      <c r="AC339" s="819"/>
      <c r="AD339" s="609"/>
      <c r="AE339" s="819"/>
      <c r="AF339" s="819"/>
      <c r="AG339" s="819"/>
      <c r="AH339" s="819"/>
      <c r="AI339" s="819"/>
      <c r="AJ339" s="819"/>
      <c r="AK339" s="819"/>
      <c r="AL339" s="819"/>
      <c r="AM339" s="819"/>
      <c r="AN339" s="819"/>
      <c r="AO339" s="819"/>
      <c r="AP339" s="819"/>
      <c r="AQ339" s="819"/>
      <c r="AR339" s="819"/>
      <c r="AS339" s="819"/>
      <c r="AT339" s="819"/>
      <c r="AU339" s="819"/>
      <c r="AV339" s="819"/>
      <c r="AW339" s="819"/>
      <c r="AX339" s="819"/>
      <c r="AY339" s="819"/>
      <c r="AZ339" s="819"/>
      <c r="BA339" s="819"/>
      <c r="BB339" s="819"/>
      <c r="BC339" s="819"/>
      <c r="BD339" s="819"/>
    </row>
    <row r="340" spans="1:57" ht="12.75" customHeight="1" thickTop="1" thickBot="1">
      <c r="A340" s="1403"/>
      <c r="B340" s="1403"/>
      <c r="C340" s="558"/>
      <c r="D340" s="569"/>
      <c r="E340" s="2016"/>
      <c r="G340" s="554"/>
      <c r="J340" s="2010"/>
      <c r="K340" s="560"/>
      <c r="L340" s="554"/>
      <c r="M340" s="562"/>
      <c r="N340" s="561"/>
      <c r="O340" s="2010"/>
      <c r="P340" s="576"/>
      <c r="Q340" s="553"/>
      <c r="R340" s="552"/>
      <c r="X340" s="819"/>
      <c r="Y340" s="819"/>
      <c r="Z340" s="819"/>
      <c r="AA340" s="819"/>
      <c r="AB340" s="819"/>
      <c r="AC340" s="819"/>
      <c r="AE340" s="819"/>
      <c r="AF340" s="819"/>
      <c r="AG340" s="819"/>
      <c r="AH340" s="819"/>
      <c r="AI340" s="819"/>
      <c r="AJ340" s="819"/>
      <c r="AK340" s="819"/>
      <c r="AL340" s="819"/>
      <c r="AM340" s="819"/>
      <c r="AN340" s="819"/>
      <c r="AO340" s="819"/>
      <c r="AP340" s="819"/>
      <c r="AQ340" s="819"/>
      <c r="AR340" s="819"/>
      <c r="AS340" s="819"/>
      <c r="AT340" s="819"/>
      <c r="AU340" s="819"/>
      <c r="AV340" s="819"/>
      <c r="AW340" s="819"/>
      <c r="AX340" s="819"/>
      <c r="AY340" s="819"/>
      <c r="AZ340" s="819"/>
      <c r="BA340" s="819"/>
      <c r="BB340" s="819"/>
      <c r="BD340" s="819"/>
      <c r="BE340" s="819"/>
    </row>
    <row r="341" spans="1:57" ht="12.75" customHeight="1" thickTop="1">
      <c r="A341" s="1403"/>
      <c r="B341" s="1403"/>
      <c r="C341" s="548"/>
      <c r="D341" s="1403"/>
      <c r="E341" s="1403"/>
      <c r="G341" s="554"/>
      <c r="L341" s="554"/>
      <c r="M341" s="564"/>
      <c r="N341" s="819"/>
      <c r="Q341" s="1403"/>
      <c r="R341" s="548"/>
      <c r="Y341" s="819"/>
      <c r="Z341" s="819"/>
      <c r="AA341" s="819"/>
      <c r="AB341" s="819"/>
      <c r="AC341" s="819"/>
      <c r="AE341" s="819"/>
      <c r="AF341" s="819"/>
      <c r="AG341" s="819"/>
      <c r="AH341" s="819"/>
      <c r="AI341" s="819"/>
      <c r="AJ341" s="819"/>
      <c r="AK341" s="819"/>
      <c r="AL341" s="819"/>
      <c r="AM341" s="819"/>
      <c r="AN341" s="819"/>
      <c r="AO341" s="819"/>
      <c r="AP341" s="819"/>
      <c r="AQ341" s="819"/>
      <c r="AR341" s="819"/>
      <c r="AS341" s="819"/>
      <c r="AT341" s="819"/>
      <c r="AU341" s="819"/>
      <c r="AV341" s="819"/>
      <c r="AW341" s="819"/>
      <c r="AX341" s="819"/>
      <c r="AY341" s="819"/>
      <c r="AZ341" s="819"/>
      <c r="BA341" s="819"/>
      <c r="BB341" s="819"/>
      <c r="BD341" s="819"/>
      <c r="BE341" s="819"/>
    </row>
    <row r="342" spans="1:57" ht="14.1" customHeight="1">
      <c r="G342" s="567"/>
      <c r="H342" s="533"/>
      <c r="L342" s="567"/>
      <c r="M342" s="566"/>
      <c r="N342" s="819"/>
      <c r="AC342" s="819"/>
      <c r="AD342" s="609"/>
      <c r="AE342" s="819"/>
      <c r="AF342" s="819"/>
      <c r="AG342" s="819"/>
      <c r="AH342" s="819"/>
      <c r="AI342" s="819"/>
      <c r="AJ342" s="819"/>
      <c r="AK342" s="819"/>
      <c r="AL342" s="819"/>
      <c r="AM342" s="819"/>
      <c r="AN342" s="819"/>
      <c r="AO342" s="819"/>
      <c r="AP342" s="819"/>
      <c r="AQ342" s="819"/>
      <c r="AR342" s="819"/>
      <c r="AS342" s="819"/>
      <c r="AT342" s="819"/>
      <c r="AU342" s="819"/>
      <c r="AV342" s="819"/>
      <c r="AW342" s="819"/>
      <c r="AX342" s="819"/>
      <c r="AY342" s="819"/>
      <c r="AZ342" s="819"/>
      <c r="BA342" s="819"/>
      <c r="BB342" s="819"/>
      <c r="BC342" s="819"/>
      <c r="BD342" s="819"/>
    </row>
    <row r="343" spans="1:57">
      <c r="G343" s="2011" t="s">
        <v>349</v>
      </c>
      <c r="H343" s="2011"/>
      <c r="L343" s="2012" t="s">
        <v>341</v>
      </c>
      <c r="M343" s="2012"/>
      <c r="N343" s="819"/>
    </row>
    <row r="344" spans="1:57">
      <c r="G344" s="2011"/>
      <c r="H344" s="2011"/>
    </row>
    <row r="345" spans="1:57" ht="12.75" customHeight="1">
      <c r="G345" s="2012" t="s">
        <v>334</v>
      </c>
      <c r="H345" s="2012"/>
    </row>
    <row r="346" spans="1:57" ht="12.75" customHeight="1">
      <c r="A346" s="1403"/>
      <c r="B346" s="1403"/>
      <c r="C346" s="2008" t="s">
        <v>1476</v>
      </c>
      <c r="D346" s="2008"/>
      <c r="U346" s="819"/>
      <c r="V346" s="819"/>
      <c r="W346" s="819"/>
      <c r="X346" s="819"/>
      <c r="Y346" s="819"/>
      <c r="Z346" s="819"/>
      <c r="AA346" s="819"/>
      <c r="AB346" s="819"/>
    </row>
    <row r="347" spans="1:57" ht="14.1" customHeight="1">
      <c r="A347" s="819"/>
      <c r="B347" s="819"/>
      <c r="C347" s="819"/>
      <c r="D347" s="2093" t="s">
        <v>1516</v>
      </c>
      <c r="E347" s="2093"/>
      <c r="F347" s="2093"/>
      <c r="G347" s="2093"/>
      <c r="H347" s="2093"/>
      <c r="I347" s="2093"/>
      <c r="J347" s="2093"/>
      <c r="K347" s="2093"/>
      <c r="L347" s="2093"/>
      <c r="M347" s="2093"/>
      <c r="N347" s="2093"/>
      <c r="O347" s="2093"/>
      <c r="P347" s="2093"/>
      <c r="Q347" s="2093"/>
      <c r="R347" s="2093"/>
      <c r="S347" s="2093"/>
      <c r="T347" s="2093"/>
      <c r="U347" s="2093"/>
      <c r="V347" s="2093"/>
      <c r="W347" s="2093"/>
      <c r="X347" s="2093"/>
      <c r="Y347" s="2093"/>
      <c r="Z347" s="2093"/>
      <c r="AA347" s="2093"/>
      <c r="AB347" s="2093"/>
      <c r="AC347" s="819"/>
      <c r="AE347" s="819"/>
      <c r="AF347" s="819"/>
      <c r="AG347" s="819"/>
      <c r="AH347" s="819"/>
      <c r="AI347" s="819"/>
      <c r="AJ347" s="819"/>
      <c r="AK347" s="819"/>
      <c r="AL347" s="819"/>
      <c r="AM347" s="819"/>
      <c r="AN347" s="819"/>
      <c r="AO347" s="819"/>
      <c r="AP347" s="819"/>
      <c r="AQ347" s="819"/>
      <c r="AR347" s="819"/>
      <c r="AS347" s="819"/>
      <c r="AT347" s="819"/>
      <c r="AU347" s="819"/>
      <c r="AV347" s="819"/>
      <c r="AW347" s="819"/>
      <c r="AX347" s="819"/>
      <c r="AY347" s="819"/>
      <c r="AZ347" s="819"/>
      <c r="BB347" s="819"/>
      <c r="BC347" s="819"/>
      <c r="BD347" s="819"/>
      <c r="BE347" s="819"/>
    </row>
    <row r="348" spans="1:57" ht="14.1" customHeight="1">
      <c r="A348" s="819"/>
      <c r="B348" s="819"/>
      <c r="C348" s="819"/>
      <c r="D348" s="2093"/>
      <c r="E348" s="2093"/>
      <c r="F348" s="2093"/>
      <c r="G348" s="2093"/>
      <c r="H348" s="2093"/>
      <c r="I348" s="2093"/>
      <c r="J348" s="2093"/>
      <c r="K348" s="2093"/>
      <c r="L348" s="2093"/>
      <c r="M348" s="2093"/>
      <c r="N348" s="2093"/>
      <c r="O348" s="2093"/>
      <c r="P348" s="2093"/>
      <c r="Q348" s="2093"/>
      <c r="R348" s="2093"/>
      <c r="S348" s="2093"/>
      <c r="T348" s="2093"/>
      <c r="U348" s="2093"/>
      <c r="V348" s="2093"/>
      <c r="W348" s="2093"/>
      <c r="X348" s="2093"/>
      <c r="Y348" s="2093"/>
      <c r="Z348" s="2093"/>
      <c r="AA348" s="2093"/>
      <c r="AB348" s="2093"/>
      <c r="AC348" s="819"/>
      <c r="AE348" s="819"/>
      <c r="AF348" s="819"/>
      <c r="AG348" s="819"/>
      <c r="AH348" s="819"/>
      <c r="AI348" s="819"/>
      <c r="AJ348" s="819"/>
      <c r="AK348" s="819"/>
      <c r="AL348" s="819"/>
      <c r="AM348" s="819"/>
      <c r="AN348" s="819"/>
      <c r="AO348" s="819"/>
      <c r="AP348" s="819"/>
      <c r="AQ348" s="819"/>
      <c r="AR348" s="819"/>
      <c r="AS348" s="819"/>
      <c r="AT348" s="819"/>
      <c r="AU348" s="819"/>
      <c r="AV348" s="819"/>
      <c r="AW348" s="819"/>
      <c r="AX348" s="819"/>
      <c r="AY348" s="819"/>
      <c r="AZ348" s="819"/>
      <c r="BB348" s="819"/>
      <c r="BC348" s="819"/>
      <c r="BD348" s="819"/>
      <c r="BE348" s="819"/>
    </row>
    <row r="349" spans="1:57" ht="14.1" customHeight="1" thickBot="1">
      <c r="B349" s="1323"/>
      <c r="C349" s="1323"/>
      <c r="D349" s="1331"/>
      <c r="E349" s="1331"/>
      <c r="F349" s="1331"/>
      <c r="G349" s="1331"/>
      <c r="H349" s="1331"/>
      <c r="I349" s="1331"/>
      <c r="J349" s="1331"/>
      <c r="K349" s="1331"/>
      <c r="L349" s="1331"/>
      <c r="M349" s="1331"/>
      <c r="N349" s="1331"/>
      <c r="O349" s="1331"/>
      <c r="P349" s="1331"/>
      <c r="Q349" s="1331"/>
      <c r="R349" s="1331"/>
      <c r="S349" s="1331"/>
      <c r="T349" s="1331"/>
      <c r="U349" s="1331"/>
      <c r="V349" s="1331"/>
      <c r="W349" s="1331"/>
      <c r="X349" s="1331"/>
      <c r="Y349" s="1331"/>
      <c r="Z349" s="1331"/>
      <c r="AA349" s="1331"/>
      <c r="AB349" s="1331"/>
      <c r="AC349" s="819"/>
      <c r="AE349" s="819"/>
      <c r="AF349" s="819"/>
      <c r="AG349" s="819"/>
      <c r="AH349" s="819"/>
      <c r="AI349" s="819"/>
      <c r="AJ349" s="819"/>
      <c r="AK349" s="819"/>
      <c r="AL349" s="819"/>
      <c r="AM349" s="819"/>
      <c r="AN349" s="819"/>
      <c r="AO349" s="819"/>
      <c r="AP349" s="819"/>
      <c r="AQ349" s="819"/>
      <c r="AR349" s="819"/>
      <c r="AS349" s="819"/>
      <c r="AT349" s="819"/>
      <c r="AU349" s="819"/>
      <c r="AV349" s="819"/>
      <c r="AW349" s="819"/>
      <c r="AX349" s="819"/>
      <c r="AY349" s="819"/>
      <c r="AZ349" s="819"/>
      <c r="BA349" s="819"/>
      <c r="BC349" s="819"/>
      <c r="BD349" s="819"/>
      <c r="BE349" s="819"/>
    </row>
    <row r="350" spans="1:57" ht="14.1" customHeight="1" thickTop="1">
      <c r="B350" s="819"/>
      <c r="C350" s="819"/>
      <c r="D350" s="819"/>
      <c r="E350" s="819"/>
      <c r="F350" s="819"/>
      <c r="G350" s="819"/>
      <c r="H350" s="819"/>
      <c r="I350" s="819"/>
      <c r="J350" s="819"/>
      <c r="K350" s="819"/>
      <c r="L350" s="819"/>
      <c r="M350" s="819"/>
      <c r="N350" s="819"/>
      <c r="O350" s="819"/>
      <c r="P350" s="819"/>
      <c r="Q350" s="819"/>
      <c r="R350" s="819"/>
      <c r="S350" s="819"/>
      <c r="T350" s="819"/>
      <c r="U350" s="819"/>
      <c r="V350" s="819"/>
      <c r="W350" s="819"/>
      <c r="X350" s="819"/>
      <c r="Y350" s="819"/>
      <c r="Z350" s="819"/>
      <c r="AA350" s="819"/>
      <c r="AB350" s="819"/>
      <c r="AC350" s="819"/>
      <c r="AE350" s="819"/>
      <c r="AF350" s="819"/>
      <c r="AG350" s="819"/>
      <c r="AH350" s="819"/>
      <c r="AI350" s="819"/>
      <c r="AJ350" s="819"/>
      <c r="AK350" s="819"/>
      <c r="AL350" s="819"/>
      <c r="AM350" s="819"/>
      <c r="AN350" s="819"/>
      <c r="AO350" s="819"/>
      <c r="AP350" s="819"/>
      <c r="AQ350" s="819"/>
      <c r="AR350" s="819"/>
      <c r="AS350" s="819"/>
      <c r="AT350" s="819"/>
      <c r="AU350" s="819"/>
      <c r="AV350" s="819"/>
      <c r="AW350" s="819"/>
      <c r="AX350" s="819"/>
      <c r="AY350" s="819"/>
      <c r="AZ350" s="819"/>
      <c r="BA350" s="819"/>
      <c r="BC350" s="819"/>
      <c r="BD350" s="819"/>
      <c r="BE350" s="819"/>
    </row>
    <row r="351" spans="1:57" ht="14.1" customHeight="1">
      <c r="B351" s="819"/>
      <c r="C351" s="819"/>
      <c r="D351" s="819"/>
      <c r="E351" s="819"/>
      <c r="F351" s="819"/>
      <c r="G351" s="819"/>
      <c r="H351" s="819"/>
      <c r="I351" s="819"/>
      <c r="J351" s="819"/>
      <c r="K351" s="819"/>
      <c r="L351" s="819"/>
      <c r="M351" s="819"/>
      <c r="N351" s="819"/>
      <c r="O351" s="819"/>
      <c r="P351" s="819"/>
      <c r="Q351" s="819"/>
      <c r="R351" s="819"/>
      <c r="S351" s="819"/>
      <c r="T351" s="819"/>
      <c r="U351" s="819"/>
      <c r="V351" s="819"/>
      <c r="W351" s="819"/>
      <c r="X351" s="819"/>
      <c r="Y351" s="819"/>
      <c r="Z351" s="819"/>
      <c r="AA351" s="819"/>
      <c r="AB351" s="819"/>
      <c r="AC351" s="819"/>
      <c r="AE351" s="819"/>
      <c r="AF351" s="819"/>
      <c r="AG351" s="819"/>
      <c r="AH351" s="819"/>
      <c r="AI351" s="819"/>
      <c r="AJ351" s="819"/>
      <c r="AK351" s="819"/>
      <c r="AL351" s="819"/>
      <c r="AM351" s="819"/>
      <c r="AN351" s="819"/>
      <c r="AO351" s="819"/>
      <c r="AP351" s="819"/>
      <c r="AQ351" s="819"/>
      <c r="AR351" s="819"/>
      <c r="AS351" s="819"/>
      <c r="AT351" s="819"/>
      <c r="AU351" s="819"/>
      <c r="AV351" s="819"/>
      <c r="AW351" s="819"/>
      <c r="AX351" s="819"/>
      <c r="AY351" s="819"/>
      <c r="AZ351" s="819"/>
      <c r="BA351" s="819"/>
      <c r="BC351" s="819"/>
      <c r="BD351" s="819"/>
      <c r="BE351" s="819"/>
    </row>
    <row r="352" spans="1:57" ht="14.1" customHeight="1" thickBot="1">
      <c r="C352" s="548"/>
      <c r="R352" s="552"/>
      <c r="AC352" s="819"/>
      <c r="AE352" s="819"/>
      <c r="AF352" s="819"/>
      <c r="AG352" s="819"/>
      <c r="AH352" s="819"/>
      <c r="AI352" s="819"/>
      <c r="AJ352" s="819"/>
      <c r="AK352" s="819"/>
      <c r="AL352" s="819"/>
      <c r="AM352" s="819"/>
      <c r="AN352" s="819"/>
      <c r="AO352" s="819"/>
      <c r="AP352" s="819"/>
      <c r="AQ352" s="819"/>
      <c r="AR352" s="819"/>
      <c r="AS352" s="819"/>
      <c r="AT352" s="819"/>
      <c r="AU352" s="819"/>
      <c r="AV352" s="819"/>
      <c r="AW352" s="819"/>
      <c r="AX352" s="819"/>
      <c r="AY352" s="819"/>
      <c r="AZ352" s="819"/>
      <c r="BB352" s="819"/>
      <c r="BC352" s="819"/>
      <c r="BD352" s="819"/>
      <c r="BE352" s="819"/>
    </row>
    <row r="353" spans="1:57" ht="14.1" customHeight="1" thickTop="1" thickBot="1">
      <c r="C353" s="548"/>
      <c r="E353" s="2013" t="s">
        <v>1483</v>
      </c>
      <c r="F353" s="1408"/>
      <c r="G353" s="1332"/>
      <c r="H353" s="1332"/>
      <c r="I353" s="1332"/>
      <c r="J353" s="2009" t="s">
        <v>1512</v>
      </c>
      <c r="K353" s="1332"/>
      <c r="L353" s="1332"/>
      <c r="M353" s="1332"/>
      <c r="N353" s="1332"/>
      <c r="O353" s="2009" t="s">
        <v>512</v>
      </c>
      <c r="P353" s="1332"/>
      <c r="Q353" s="1332"/>
      <c r="R353" s="552"/>
      <c r="AC353" s="819"/>
      <c r="AE353" s="819"/>
      <c r="AF353" s="819"/>
      <c r="AG353" s="819"/>
      <c r="AH353" s="819"/>
      <c r="AI353" s="819"/>
      <c r="AJ353" s="819"/>
      <c r="AK353" s="819"/>
      <c r="AL353" s="819"/>
      <c r="AM353" s="819"/>
      <c r="AN353" s="819"/>
      <c r="AO353" s="819"/>
      <c r="AP353" s="819"/>
      <c r="AQ353" s="819"/>
      <c r="AR353" s="819"/>
      <c r="AS353" s="819"/>
      <c r="AT353" s="819"/>
      <c r="AU353" s="819"/>
      <c r="AV353" s="819"/>
      <c r="AW353" s="819"/>
      <c r="AX353" s="819"/>
      <c r="AY353" s="819"/>
      <c r="AZ353" s="819"/>
      <c r="BB353" s="819"/>
      <c r="BC353" s="819"/>
      <c r="BD353" s="819"/>
      <c r="BE353" s="819"/>
    </row>
    <row r="354" spans="1:57" ht="14.1" customHeight="1" thickTop="1" thickBot="1">
      <c r="C354" s="558"/>
      <c r="D354" s="559"/>
      <c r="E354" s="2014"/>
      <c r="G354" s="554"/>
      <c r="J354" s="2010"/>
      <c r="L354" s="554"/>
      <c r="O354" s="2010"/>
      <c r="R354" s="552"/>
      <c r="AC354" s="819"/>
      <c r="AE354" s="819"/>
      <c r="AF354" s="819"/>
      <c r="AG354" s="819"/>
      <c r="AH354" s="819"/>
      <c r="AI354" s="819"/>
      <c r="AJ354" s="819"/>
      <c r="AK354" s="819"/>
      <c r="AL354" s="819"/>
      <c r="AM354" s="819"/>
      <c r="AN354" s="819"/>
      <c r="AO354" s="819"/>
      <c r="AP354" s="819"/>
      <c r="AQ354" s="819"/>
      <c r="AR354" s="819"/>
      <c r="AS354" s="819"/>
      <c r="AT354" s="819"/>
      <c r="AU354" s="819"/>
      <c r="AV354" s="819"/>
      <c r="AW354" s="819"/>
      <c r="AX354" s="819"/>
      <c r="AY354" s="819"/>
      <c r="AZ354" s="819"/>
      <c r="BB354" s="819"/>
      <c r="BC354" s="819"/>
      <c r="BD354" s="819"/>
      <c r="BE354" s="819"/>
    </row>
    <row r="355" spans="1:57" ht="14.1" customHeight="1">
      <c r="C355" s="548"/>
      <c r="G355" s="554"/>
      <c r="L355" s="554"/>
      <c r="R355" s="552"/>
      <c r="AC355" s="819"/>
      <c r="AE355" s="819"/>
      <c r="AF355" s="819"/>
      <c r="AG355" s="819"/>
      <c r="AH355" s="819"/>
      <c r="AI355" s="819"/>
      <c r="AJ355" s="819"/>
      <c r="AK355" s="819"/>
      <c r="AL355" s="819"/>
      <c r="AM355" s="819"/>
      <c r="AN355" s="819"/>
      <c r="AO355" s="819"/>
      <c r="AP355" s="819"/>
      <c r="AQ355" s="819"/>
      <c r="AR355" s="819"/>
      <c r="AS355" s="819"/>
      <c r="AT355" s="819"/>
      <c r="AU355" s="819"/>
      <c r="AV355" s="819"/>
      <c r="AW355" s="819"/>
      <c r="AX355" s="819"/>
      <c r="AY355" s="819"/>
      <c r="AZ355" s="819"/>
      <c r="BB355" s="819"/>
      <c r="BC355" s="819"/>
      <c r="BD355" s="819"/>
      <c r="BE355" s="819"/>
    </row>
    <row r="356" spans="1:57" ht="14.1" customHeight="1">
      <c r="C356" s="548"/>
      <c r="G356" s="554"/>
      <c r="L356" s="554"/>
      <c r="R356" s="552"/>
      <c r="AC356" s="819"/>
      <c r="AE356" s="819"/>
      <c r="AF356" s="819"/>
      <c r="AG356" s="819"/>
      <c r="AH356" s="819"/>
      <c r="AI356" s="819"/>
      <c r="AJ356" s="819"/>
      <c r="AK356" s="819"/>
      <c r="AL356" s="819"/>
      <c r="AM356" s="819"/>
      <c r="AN356" s="819"/>
      <c r="AO356" s="819"/>
      <c r="AP356" s="819"/>
      <c r="AQ356" s="819"/>
      <c r="AR356" s="819"/>
      <c r="AS356" s="819"/>
      <c r="AT356" s="819"/>
      <c r="AU356" s="819"/>
      <c r="AV356" s="819"/>
      <c r="AW356" s="819"/>
      <c r="AX356" s="819"/>
      <c r="AY356" s="819"/>
      <c r="AZ356" s="819"/>
      <c r="BB356" s="819"/>
      <c r="BC356" s="819"/>
      <c r="BD356" s="819"/>
      <c r="BE356" s="819"/>
    </row>
    <row r="357" spans="1:57" ht="14.1" customHeight="1">
      <c r="C357" s="548"/>
      <c r="G357" s="2012" t="s">
        <v>1513</v>
      </c>
      <c r="H357" s="2012"/>
      <c r="L357" s="2012" t="s">
        <v>1484</v>
      </c>
      <c r="M357" s="2012"/>
      <c r="N357" s="533"/>
      <c r="R357" s="552"/>
      <c r="AC357" s="819"/>
      <c r="AE357" s="819"/>
      <c r="AF357" s="819"/>
      <c r="AG357" s="819"/>
      <c r="AH357" s="819"/>
      <c r="AI357" s="819"/>
      <c r="AJ357" s="819"/>
      <c r="AK357" s="819"/>
      <c r="AL357" s="819"/>
      <c r="AM357" s="819"/>
      <c r="AN357" s="819"/>
      <c r="AO357" s="819"/>
      <c r="AP357" s="819"/>
      <c r="AQ357" s="819"/>
      <c r="AR357" s="819"/>
      <c r="AS357" s="819"/>
      <c r="AT357" s="819"/>
      <c r="AU357" s="819"/>
      <c r="AV357" s="819"/>
      <c r="AW357" s="819"/>
      <c r="AX357" s="819"/>
      <c r="AY357" s="819"/>
      <c r="AZ357" s="819"/>
      <c r="BB357" s="819"/>
      <c r="BC357" s="819"/>
      <c r="BD357" s="819"/>
      <c r="BE357" s="819"/>
    </row>
    <row r="358" spans="1:57" ht="13.8" thickBot="1">
      <c r="A358" s="1403"/>
      <c r="B358" s="1403"/>
      <c r="C358" s="548"/>
      <c r="D358" s="1403"/>
      <c r="E358" s="1403"/>
      <c r="R358" s="552"/>
      <c r="Z358" s="819"/>
      <c r="AA358" s="819"/>
      <c r="AB358" s="819"/>
    </row>
    <row r="359" spans="1:57" ht="14.1" customHeight="1" thickTop="1" thickBot="1">
      <c r="A359" s="1403"/>
      <c r="B359" s="1403"/>
      <c r="C359" s="549"/>
      <c r="D359" s="1408"/>
      <c r="E359" s="2013" t="s">
        <v>1478</v>
      </c>
      <c r="F359" s="1408"/>
      <c r="G359" s="1332"/>
      <c r="H359" s="1332"/>
      <c r="I359" s="1408"/>
      <c r="J359" s="2009" t="s">
        <v>1479</v>
      </c>
      <c r="K359" s="1408"/>
      <c r="L359" s="1332"/>
      <c r="M359" s="1408"/>
      <c r="N359" s="1332"/>
      <c r="O359" s="2009" t="s">
        <v>1481</v>
      </c>
      <c r="P359" s="573"/>
      <c r="Q359" s="568"/>
      <c r="R359" s="1337"/>
      <c r="S359" s="819"/>
      <c r="T359" s="2008"/>
      <c r="U359" s="2008"/>
      <c r="V359" s="533"/>
      <c r="X359" s="819"/>
      <c r="Y359" s="819"/>
      <c r="Z359" s="819"/>
      <c r="AA359" s="819"/>
      <c r="AB359" s="819"/>
      <c r="AC359" s="819"/>
      <c r="AD359" s="609"/>
      <c r="AE359" s="819"/>
      <c r="AF359" s="819"/>
      <c r="AG359" s="819"/>
      <c r="AH359" s="819"/>
      <c r="AI359" s="819"/>
      <c r="AJ359" s="819"/>
      <c r="AK359" s="819"/>
      <c r="AL359" s="819"/>
      <c r="AM359" s="819"/>
      <c r="AN359" s="819"/>
      <c r="AO359" s="819"/>
      <c r="AP359" s="819"/>
      <c r="AQ359" s="819"/>
      <c r="AR359" s="819"/>
      <c r="AS359" s="819"/>
      <c r="AT359" s="819"/>
      <c r="AU359" s="819"/>
      <c r="AV359" s="819"/>
      <c r="AW359" s="819"/>
      <c r="AX359" s="819"/>
      <c r="AY359" s="819"/>
      <c r="AZ359" s="819"/>
      <c r="BA359" s="819"/>
      <c r="BB359" s="819"/>
      <c r="BC359" s="819"/>
      <c r="BD359" s="819"/>
    </row>
    <row r="360" spans="1:57" ht="12.75" customHeight="1" thickTop="1" thickBot="1">
      <c r="A360" s="1403"/>
      <c r="B360" s="1403"/>
      <c r="C360" s="558"/>
      <c r="D360" s="559"/>
      <c r="E360" s="2014"/>
      <c r="G360" s="554"/>
      <c r="J360" s="2010"/>
      <c r="L360" s="554"/>
      <c r="M360" s="1403"/>
      <c r="O360" s="2010"/>
      <c r="P360" s="574"/>
      <c r="Q360" s="553"/>
      <c r="R360" s="552"/>
      <c r="X360" s="819"/>
      <c r="Y360" s="819"/>
      <c r="Z360" s="819"/>
      <c r="AA360" s="819"/>
      <c r="AB360" s="819"/>
      <c r="AC360" s="819"/>
      <c r="AE360" s="819"/>
      <c r="AF360" s="819"/>
      <c r="AG360" s="819"/>
      <c r="AH360" s="819"/>
      <c r="AI360" s="819"/>
      <c r="AJ360" s="819"/>
      <c r="AK360" s="819"/>
      <c r="AL360" s="819"/>
      <c r="AM360" s="819"/>
      <c r="AN360" s="819"/>
      <c r="AO360" s="819"/>
      <c r="AP360" s="819"/>
      <c r="AQ360" s="819"/>
      <c r="AR360" s="819"/>
      <c r="AS360" s="819"/>
      <c r="AT360" s="819"/>
      <c r="AU360" s="819"/>
      <c r="AV360" s="819"/>
      <c r="AW360" s="819"/>
      <c r="AX360" s="819"/>
      <c r="AY360" s="819"/>
      <c r="AZ360" s="819"/>
      <c r="BA360" s="819"/>
      <c r="BB360" s="819"/>
      <c r="BD360" s="819"/>
      <c r="BE360" s="819"/>
    </row>
    <row r="361" spans="1:57" ht="12.75" customHeight="1">
      <c r="A361" s="1403"/>
      <c r="B361" s="1403"/>
      <c r="C361" s="548"/>
      <c r="D361" s="1403"/>
      <c r="E361" s="1403"/>
      <c r="G361" s="554"/>
      <c r="L361" s="554"/>
      <c r="N361" s="819"/>
      <c r="Q361" s="1403"/>
      <c r="R361" s="548"/>
      <c r="Y361" s="819"/>
      <c r="Z361" s="819"/>
      <c r="AA361" s="819"/>
      <c r="AB361" s="819"/>
      <c r="AC361" s="819"/>
      <c r="AE361" s="819"/>
      <c r="AF361" s="819"/>
      <c r="AG361" s="819"/>
      <c r="AH361" s="819"/>
      <c r="AI361" s="819"/>
      <c r="AJ361" s="819"/>
      <c r="AK361" s="819"/>
      <c r="AL361" s="819"/>
      <c r="AM361" s="819"/>
      <c r="AN361" s="819"/>
      <c r="AO361" s="819"/>
      <c r="AP361" s="819"/>
      <c r="AQ361" s="819"/>
      <c r="AR361" s="819"/>
      <c r="AS361" s="819"/>
      <c r="AT361" s="819"/>
      <c r="AU361" s="819"/>
      <c r="AV361" s="819"/>
      <c r="AW361" s="819"/>
      <c r="AX361" s="819"/>
      <c r="AY361" s="819"/>
      <c r="AZ361" s="819"/>
      <c r="BA361" s="819"/>
      <c r="BB361" s="819"/>
      <c r="BD361" s="819"/>
      <c r="BE361" s="819"/>
    </row>
    <row r="362" spans="1:57" ht="14.1" customHeight="1">
      <c r="C362" s="552"/>
      <c r="G362" s="567"/>
      <c r="H362" s="533"/>
      <c r="L362" s="567"/>
      <c r="M362" s="533"/>
      <c r="N362" s="819"/>
      <c r="R362" s="552"/>
      <c r="AB362" s="819"/>
      <c r="AC362" s="819"/>
      <c r="AD362" s="609"/>
      <c r="AE362" s="819"/>
      <c r="AF362" s="819"/>
      <c r="AG362" s="819"/>
      <c r="AH362" s="819"/>
      <c r="AI362" s="819"/>
      <c r="AJ362" s="819"/>
      <c r="AK362" s="819"/>
      <c r="AL362" s="819"/>
      <c r="AM362" s="819"/>
      <c r="AN362" s="819"/>
      <c r="AO362" s="819"/>
      <c r="AP362" s="819"/>
      <c r="AQ362" s="819"/>
      <c r="AR362" s="819"/>
      <c r="AS362" s="819"/>
      <c r="AT362" s="819"/>
      <c r="AU362" s="819"/>
      <c r="AV362" s="819"/>
      <c r="AW362" s="819"/>
      <c r="AX362" s="819"/>
      <c r="AY362" s="819"/>
      <c r="AZ362" s="819"/>
      <c r="BA362" s="819"/>
      <c r="BB362" s="819"/>
      <c r="BC362" s="819"/>
      <c r="BD362" s="819"/>
    </row>
    <row r="363" spans="1:57">
      <c r="C363" s="552"/>
      <c r="G363" s="2012" t="s">
        <v>338</v>
      </c>
      <c r="H363" s="2012"/>
      <c r="L363" s="2012" t="s">
        <v>1480</v>
      </c>
      <c r="M363" s="2012"/>
      <c r="N363" s="819"/>
      <c r="R363" s="552"/>
      <c r="AB363" s="819"/>
      <c r="AC363" s="819"/>
    </row>
    <row r="364" spans="1:57" ht="13.8" thickBot="1">
      <c r="A364" s="1403"/>
      <c r="B364" s="1403"/>
      <c r="C364" s="548"/>
      <c r="D364" s="1403"/>
      <c r="E364" s="1403"/>
      <c r="R364" s="552"/>
      <c r="Z364" s="819"/>
      <c r="AA364" s="819"/>
      <c r="AB364" s="819"/>
      <c r="AC364" s="819"/>
    </row>
    <row r="365" spans="1:57" ht="14.1" customHeight="1" thickTop="1" thickBot="1">
      <c r="A365" s="1403"/>
      <c r="B365" s="1403"/>
      <c r="C365" s="549"/>
      <c r="D365" s="568"/>
      <c r="E365" s="2015" t="s">
        <v>69</v>
      </c>
      <c r="F365" s="549"/>
      <c r="G365" s="1332"/>
      <c r="H365" s="1332"/>
      <c r="I365" s="1408"/>
      <c r="J365" s="2007" t="s">
        <v>1473</v>
      </c>
      <c r="K365" s="1408"/>
      <c r="L365" s="1332"/>
      <c r="M365" s="1408"/>
      <c r="N365" s="1332"/>
      <c r="O365" s="2009" t="s">
        <v>1475</v>
      </c>
      <c r="P365" s="575"/>
      <c r="Q365" s="568"/>
      <c r="R365" s="1337"/>
      <c r="S365" s="819"/>
      <c r="T365" s="2008"/>
      <c r="U365" s="2008"/>
      <c r="V365" s="533"/>
      <c r="X365" s="819"/>
      <c r="Y365" s="819"/>
      <c r="Z365" s="819"/>
      <c r="AA365" s="819"/>
      <c r="AB365" s="819"/>
      <c r="AC365" s="819"/>
      <c r="AD365" s="609"/>
      <c r="AE365" s="819"/>
      <c r="AF365" s="819"/>
      <c r="AG365" s="819"/>
      <c r="AH365" s="819"/>
      <c r="AI365" s="819"/>
      <c r="AJ365" s="819"/>
      <c r="AK365" s="819"/>
      <c r="AL365" s="819"/>
      <c r="AM365" s="819"/>
      <c r="AN365" s="819"/>
      <c r="AO365" s="819"/>
      <c r="AP365" s="819"/>
      <c r="AQ365" s="819"/>
      <c r="AR365" s="819"/>
      <c r="AS365" s="819"/>
      <c r="AT365" s="819"/>
      <c r="AU365" s="819"/>
      <c r="AV365" s="819"/>
      <c r="AW365" s="819"/>
      <c r="AX365" s="819"/>
      <c r="AY365" s="819"/>
      <c r="AZ365" s="819"/>
      <c r="BA365" s="819"/>
      <c r="BB365" s="819"/>
      <c r="BC365" s="819"/>
      <c r="BD365" s="819"/>
    </row>
    <row r="366" spans="1:57" ht="12.75" customHeight="1" thickTop="1" thickBot="1">
      <c r="A366" s="1403"/>
      <c r="B366" s="1403"/>
      <c r="C366" s="558"/>
      <c r="D366" s="569"/>
      <c r="E366" s="2016"/>
      <c r="G366" s="554"/>
      <c r="J366" s="2007"/>
      <c r="L366" s="554"/>
      <c r="M366" s="1403"/>
      <c r="O366" s="2010"/>
      <c r="P366" s="576"/>
      <c r="Q366" s="553"/>
      <c r="R366" s="552"/>
      <c r="X366" s="819"/>
      <c r="Y366" s="819"/>
      <c r="Z366" s="819"/>
      <c r="AA366" s="819"/>
      <c r="AB366" s="819"/>
      <c r="AC366" s="819"/>
      <c r="AE366" s="819"/>
      <c r="AF366" s="819"/>
      <c r="AG366" s="819"/>
      <c r="AH366" s="819"/>
      <c r="AI366" s="819"/>
      <c r="AJ366" s="819"/>
      <c r="AK366" s="819"/>
      <c r="AL366" s="819"/>
      <c r="AM366" s="819"/>
      <c r="AN366" s="819"/>
      <c r="AO366" s="819"/>
      <c r="AP366" s="819"/>
      <c r="AQ366" s="819"/>
      <c r="AR366" s="819"/>
      <c r="AS366" s="819"/>
      <c r="AT366" s="819"/>
      <c r="AU366" s="819"/>
      <c r="AV366" s="819"/>
      <c r="AW366" s="819"/>
      <c r="AX366" s="819"/>
      <c r="AY366" s="819"/>
      <c r="AZ366" s="819"/>
      <c r="BA366" s="819"/>
      <c r="BB366" s="819"/>
      <c r="BD366" s="819"/>
      <c r="BE366" s="819"/>
    </row>
    <row r="367" spans="1:57" ht="12.75" customHeight="1" thickTop="1">
      <c r="A367" s="1403"/>
      <c r="B367" s="1403"/>
      <c r="C367" s="548"/>
      <c r="D367" s="1403"/>
      <c r="E367" s="1403"/>
      <c r="G367" s="554"/>
      <c r="L367" s="554"/>
      <c r="N367" s="819"/>
      <c r="Q367" s="1403"/>
      <c r="R367" s="548"/>
      <c r="Y367" s="819"/>
      <c r="Z367" s="819"/>
      <c r="AA367" s="819"/>
      <c r="AB367" s="819"/>
      <c r="AC367" s="819"/>
      <c r="AE367" s="819"/>
      <c r="AF367" s="819"/>
      <c r="AG367" s="819"/>
      <c r="AH367" s="819"/>
      <c r="AI367" s="819"/>
      <c r="AJ367" s="819"/>
      <c r="AK367" s="819"/>
      <c r="AL367" s="819"/>
      <c r="AM367" s="819"/>
      <c r="AN367" s="819"/>
      <c r="AO367" s="819"/>
      <c r="AP367" s="819"/>
      <c r="AQ367" s="819"/>
      <c r="AR367" s="819"/>
      <c r="AS367" s="819"/>
      <c r="AT367" s="819"/>
      <c r="AU367" s="819"/>
      <c r="AV367" s="819"/>
      <c r="AW367" s="819"/>
      <c r="AX367" s="819"/>
      <c r="AY367" s="819"/>
      <c r="AZ367" s="819"/>
      <c r="BA367" s="819"/>
      <c r="BB367" s="819"/>
      <c r="BD367" s="819"/>
      <c r="BE367" s="819"/>
    </row>
    <row r="368" spans="1:57" ht="14.1" customHeight="1">
      <c r="B368" s="2011" t="s">
        <v>349</v>
      </c>
      <c r="C368" s="2011"/>
      <c r="G368" s="567"/>
      <c r="H368" s="533"/>
      <c r="L368" s="567"/>
      <c r="M368" s="533"/>
      <c r="N368" s="819"/>
      <c r="AC368" s="819"/>
      <c r="AD368" s="609"/>
      <c r="AE368" s="819"/>
      <c r="AF368" s="819"/>
      <c r="AG368" s="819"/>
      <c r="AH368" s="819"/>
      <c r="AI368" s="819"/>
      <c r="AJ368" s="819"/>
      <c r="AK368" s="819"/>
      <c r="AL368" s="819"/>
      <c r="AM368" s="819"/>
      <c r="AN368" s="819"/>
      <c r="AO368" s="819"/>
      <c r="AP368" s="819"/>
      <c r="AQ368" s="819"/>
      <c r="AR368" s="819"/>
      <c r="AS368" s="819"/>
      <c r="AT368" s="819"/>
      <c r="AU368" s="819"/>
      <c r="AV368" s="819"/>
      <c r="AW368" s="819"/>
      <c r="AX368" s="819"/>
      <c r="AY368" s="819"/>
      <c r="AZ368" s="819"/>
      <c r="BA368" s="819"/>
      <c r="BB368" s="819"/>
      <c r="BC368" s="819"/>
      <c r="BD368" s="819"/>
    </row>
    <row r="369" spans="1:54">
      <c r="B369" s="2011"/>
      <c r="C369" s="2011"/>
      <c r="G369" s="819"/>
      <c r="H369" s="819"/>
      <c r="L369" s="533" t="s">
        <v>1517</v>
      </c>
      <c r="M369" s="533"/>
      <c r="N369" s="819"/>
    </row>
    <row r="370" spans="1:54" ht="14.1" customHeight="1">
      <c r="B370" s="819"/>
      <c r="C370" s="819"/>
      <c r="D370" s="819"/>
      <c r="E370" s="819"/>
      <c r="F370" s="819"/>
      <c r="G370" s="819"/>
      <c r="H370" s="819"/>
      <c r="I370" s="819"/>
      <c r="J370" s="819"/>
      <c r="K370" s="819"/>
      <c r="L370" s="819"/>
      <c r="M370" s="819"/>
      <c r="N370" s="819"/>
      <c r="O370" s="819"/>
      <c r="P370" s="819"/>
      <c r="Q370" s="819"/>
      <c r="R370" s="819"/>
      <c r="S370" s="819"/>
      <c r="T370" s="819"/>
      <c r="U370" s="819"/>
      <c r="V370" s="819"/>
      <c r="W370" s="819"/>
      <c r="X370" s="819"/>
      <c r="Y370" s="819"/>
      <c r="Z370" s="819"/>
      <c r="AA370" s="819"/>
      <c r="AB370" s="819"/>
      <c r="AC370" s="819"/>
      <c r="AE370" s="819"/>
      <c r="AF370" s="819"/>
      <c r="AG370" s="819"/>
      <c r="AH370" s="819"/>
      <c r="AI370" s="819"/>
      <c r="AJ370" s="819"/>
      <c r="AK370" s="819"/>
      <c r="AL370" s="819"/>
      <c r="AM370" s="819"/>
      <c r="AN370" s="819"/>
      <c r="AO370" s="819"/>
      <c r="AP370" s="819"/>
      <c r="AQ370" s="819"/>
      <c r="AR370" s="819"/>
      <c r="AS370" s="819"/>
      <c r="AT370" s="819"/>
      <c r="AU370" s="819"/>
      <c r="AV370" s="819"/>
      <c r="AW370" s="819"/>
      <c r="AX370" s="819"/>
      <c r="AY370" s="819"/>
      <c r="AZ370" s="819"/>
      <c r="BA370" s="819"/>
    </row>
    <row r="371" spans="1:54" ht="12.75" customHeight="1"/>
    <row r="372" spans="1:54" ht="12.75" customHeight="1">
      <c r="A372" s="1403"/>
      <c r="B372" s="1403"/>
      <c r="C372" s="2008" t="s">
        <v>1485</v>
      </c>
      <c r="D372" s="2008"/>
      <c r="U372" s="819"/>
      <c r="V372" s="819"/>
      <c r="W372" s="819"/>
      <c r="X372" s="819"/>
      <c r="Y372" s="819"/>
      <c r="Z372" s="819"/>
      <c r="AA372" s="819"/>
      <c r="AB372" s="819"/>
    </row>
    <row r="373" spans="1:54" ht="12.75" customHeight="1">
      <c r="A373" s="1403"/>
      <c r="B373" s="1403"/>
      <c r="C373" s="1403"/>
      <c r="D373" s="2093" t="s">
        <v>1518</v>
      </c>
      <c r="E373" s="2093"/>
      <c r="F373" s="2093"/>
      <c r="G373" s="2093"/>
      <c r="H373" s="2093"/>
      <c r="I373" s="2093"/>
      <c r="J373" s="2093"/>
      <c r="K373" s="2093"/>
      <c r="L373" s="2093"/>
      <c r="M373" s="2093"/>
      <c r="N373" s="2093"/>
      <c r="O373" s="2093"/>
      <c r="P373" s="2093"/>
      <c r="Q373" s="2093"/>
      <c r="R373" s="2093"/>
      <c r="S373" s="2093"/>
      <c r="T373" s="2093"/>
      <c r="U373" s="2093"/>
      <c r="V373" s="2093"/>
      <c r="W373" s="2093"/>
      <c r="X373" s="2093"/>
      <c r="Y373" s="2093"/>
      <c r="Z373" s="2093"/>
      <c r="AA373" s="2093"/>
      <c r="AB373" s="2093"/>
      <c r="AC373" s="2093"/>
    </row>
    <row r="374" spans="1:54" ht="14.1" customHeight="1">
      <c r="A374" s="819"/>
      <c r="B374" s="819"/>
      <c r="C374" s="819"/>
      <c r="D374" s="2093"/>
      <c r="E374" s="2093"/>
      <c r="F374" s="2093"/>
      <c r="G374" s="2093"/>
      <c r="H374" s="2093"/>
      <c r="I374" s="2093"/>
      <c r="J374" s="2093"/>
      <c r="K374" s="2093"/>
      <c r="L374" s="2093"/>
      <c r="M374" s="2093"/>
      <c r="N374" s="2093"/>
      <c r="O374" s="2093"/>
      <c r="P374" s="2093"/>
      <c r="Q374" s="2093"/>
      <c r="R374" s="2093"/>
      <c r="S374" s="2093"/>
      <c r="T374" s="2093"/>
      <c r="U374" s="2093"/>
      <c r="V374" s="2093"/>
      <c r="W374" s="2093"/>
      <c r="X374" s="2093"/>
      <c r="Y374" s="2093"/>
      <c r="Z374" s="2093"/>
      <c r="AA374" s="2093"/>
      <c r="AB374" s="2093"/>
      <c r="AC374" s="2093"/>
      <c r="AE374" s="819"/>
      <c r="AF374" s="819"/>
      <c r="AG374" s="819"/>
      <c r="AH374" s="819"/>
      <c r="AI374" s="819"/>
      <c r="AJ374" s="819"/>
      <c r="AK374" s="819"/>
      <c r="AL374" s="819"/>
      <c r="AM374" s="819"/>
      <c r="AN374" s="819"/>
      <c r="AO374" s="819"/>
      <c r="AP374" s="819"/>
      <c r="AQ374" s="819"/>
      <c r="AR374" s="819"/>
      <c r="AS374" s="819"/>
      <c r="AT374" s="819"/>
      <c r="AU374" s="819"/>
      <c r="AV374" s="819"/>
      <c r="AW374" s="819"/>
      <c r="AX374" s="819"/>
      <c r="AY374" s="819"/>
      <c r="AZ374" s="819"/>
      <c r="BB374" s="819"/>
    </row>
    <row r="375" spans="1:54" ht="14.1" customHeight="1">
      <c r="A375" s="819"/>
      <c r="B375" s="819"/>
      <c r="C375" s="819"/>
      <c r="D375" s="2093"/>
      <c r="E375" s="2093"/>
      <c r="F375" s="2093"/>
      <c r="G375" s="2093"/>
      <c r="H375" s="2093"/>
      <c r="I375" s="2093"/>
      <c r="J375" s="2093"/>
      <c r="K375" s="2093"/>
      <c r="L375" s="2093"/>
      <c r="M375" s="2093"/>
      <c r="N375" s="2093"/>
      <c r="O375" s="2093"/>
      <c r="P375" s="2093"/>
      <c r="Q375" s="2093"/>
      <c r="R375" s="2093"/>
      <c r="S375" s="2093"/>
      <c r="T375" s="2093"/>
      <c r="U375" s="2093"/>
      <c r="V375" s="2093"/>
      <c r="W375" s="2093"/>
      <c r="X375" s="2093"/>
      <c r="Y375" s="2093"/>
      <c r="Z375" s="2093"/>
      <c r="AA375" s="2093"/>
      <c r="AB375" s="2093"/>
      <c r="AC375" s="2093"/>
      <c r="AE375" s="819"/>
      <c r="AF375" s="819"/>
      <c r="AG375" s="819"/>
      <c r="AH375" s="819"/>
      <c r="AI375" s="819"/>
      <c r="AJ375" s="819"/>
      <c r="AK375" s="819"/>
      <c r="AL375" s="819"/>
      <c r="AM375" s="819"/>
      <c r="AN375" s="819"/>
      <c r="AO375" s="819"/>
      <c r="AP375" s="819"/>
      <c r="AQ375" s="819"/>
      <c r="AR375" s="819"/>
      <c r="AS375" s="819"/>
      <c r="AT375" s="819"/>
      <c r="AU375" s="819"/>
      <c r="AV375" s="819"/>
      <c r="AW375" s="819"/>
      <c r="AX375" s="819"/>
      <c r="AY375" s="819"/>
      <c r="AZ375" s="819"/>
      <c r="BA375" s="819"/>
    </row>
    <row r="376" spans="1:54" ht="14.1" customHeight="1">
      <c r="A376" s="819"/>
      <c r="B376" s="819"/>
      <c r="C376" s="819"/>
      <c r="D376" s="2093"/>
      <c r="E376" s="2093"/>
      <c r="F376" s="2093"/>
      <c r="G376" s="2093"/>
      <c r="H376" s="2093"/>
      <c r="I376" s="2093"/>
      <c r="J376" s="2093"/>
      <c r="K376" s="2093"/>
      <c r="L376" s="2093"/>
      <c r="M376" s="2093"/>
      <c r="N376" s="2093"/>
      <c r="O376" s="2093"/>
      <c r="P376" s="2093"/>
      <c r="Q376" s="2093"/>
      <c r="R376" s="2093"/>
      <c r="S376" s="2093"/>
      <c r="T376" s="2093"/>
      <c r="U376" s="2093"/>
      <c r="V376" s="2093"/>
      <c r="W376" s="2093"/>
      <c r="X376" s="2093"/>
      <c r="Y376" s="2093"/>
      <c r="Z376" s="2093"/>
      <c r="AA376" s="2093"/>
      <c r="AB376" s="2093"/>
      <c r="AC376" s="2093"/>
      <c r="AE376" s="819"/>
      <c r="AF376" s="819"/>
      <c r="AG376" s="819"/>
      <c r="AH376" s="819"/>
      <c r="AI376" s="819"/>
      <c r="AJ376" s="819"/>
      <c r="AK376" s="819"/>
      <c r="AL376" s="819"/>
      <c r="AM376" s="819"/>
      <c r="AN376" s="819"/>
      <c r="AO376" s="819"/>
      <c r="AP376" s="819"/>
      <c r="AQ376" s="819"/>
      <c r="AR376" s="819"/>
      <c r="AS376" s="819"/>
      <c r="AT376" s="819"/>
      <c r="AU376" s="819"/>
      <c r="AV376" s="819"/>
      <c r="AW376" s="819"/>
      <c r="AX376" s="819"/>
      <c r="AY376" s="819"/>
      <c r="AZ376" s="819"/>
      <c r="BA376" s="819"/>
    </row>
    <row r="377" spans="1:54" ht="14.1" customHeight="1">
      <c r="A377" s="819"/>
      <c r="B377" s="819"/>
      <c r="C377" s="819"/>
      <c r="D377" s="2093"/>
      <c r="E377" s="2093"/>
      <c r="F377" s="2093"/>
      <c r="G377" s="2093"/>
      <c r="H377" s="2093"/>
      <c r="I377" s="2093"/>
      <c r="J377" s="2093"/>
      <c r="K377" s="2093"/>
      <c r="L377" s="2093"/>
      <c r="M377" s="2093"/>
      <c r="N377" s="2093"/>
      <c r="O377" s="2093"/>
      <c r="P377" s="2093"/>
      <c r="Q377" s="2093"/>
      <c r="R377" s="2093"/>
      <c r="S377" s="2093"/>
      <c r="T377" s="2093"/>
      <c r="U377" s="2093"/>
      <c r="V377" s="2093"/>
      <c r="W377" s="2093"/>
      <c r="X377" s="2093"/>
      <c r="Y377" s="2093"/>
      <c r="Z377" s="2093"/>
      <c r="AA377" s="2093"/>
      <c r="AB377" s="2093"/>
      <c r="AC377" s="2093"/>
      <c r="AE377" s="819"/>
      <c r="AF377" s="819"/>
      <c r="AG377" s="819"/>
      <c r="AH377" s="819"/>
      <c r="AI377" s="819"/>
      <c r="AJ377" s="819"/>
      <c r="AK377" s="819"/>
      <c r="AL377" s="819"/>
      <c r="AM377" s="819"/>
      <c r="AN377" s="819"/>
      <c r="AO377" s="819"/>
      <c r="AP377" s="819"/>
      <c r="AQ377" s="819"/>
      <c r="AR377" s="819"/>
      <c r="AS377" s="819"/>
      <c r="AT377" s="819"/>
      <c r="AU377" s="819"/>
      <c r="AV377" s="819"/>
      <c r="AW377" s="819"/>
      <c r="AX377" s="819"/>
      <c r="AY377" s="819"/>
      <c r="AZ377" s="819"/>
      <c r="BA377" s="819"/>
    </row>
    <row r="378" spans="1:54" ht="14.1" customHeight="1" thickBot="1">
      <c r="A378" s="555"/>
      <c r="B378" s="1323"/>
      <c r="C378" s="1323"/>
      <c r="D378" s="791"/>
      <c r="E378" s="791"/>
      <c r="F378" s="791"/>
      <c r="G378" s="791"/>
      <c r="H378" s="791"/>
      <c r="I378" s="791"/>
      <c r="J378" s="791"/>
      <c r="K378" s="791"/>
      <c r="L378" s="791"/>
      <c r="M378" s="791"/>
      <c r="N378" s="791"/>
      <c r="O378" s="791"/>
      <c r="P378" s="791"/>
      <c r="Q378" s="791"/>
      <c r="R378" s="791"/>
      <c r="S378" s="791"/>
      <c r="T378" s="791"/>
      <c r="U378" s="791"/>
      <c r="V378" s="791"/>
      <c r="W378" s="791"/>
      <c r="X378" s="791"/>
      <c r="Y378" s="791"/>
      <c r="Z378" s="791"/>
      <c r="AA378" s="791"/>
      <c r="AB378" s="791"/>
      <c r="AC378" s="819"/>
      <c r="AE378" s="819"/>
      <c r="AF378" s="819"/>
      <c r="AG378" s="819"/>
      <c r="AH378" s="819"/>
      <c r="AI378" s="819"/>
      <c r="AJ378" s="819"/>
      <c r="AK378" s="819"/>
      <c r="AL378" s="819"/>
      <c r="AM378" s="819"/>
      <c r="AN378" s="819"/>
      <c r="AO378" s="819"/>
      <c r="AP378" s="819"/>
      <c r="AQ378" s="819"/>
      <c r="AR378" s="819"/>
      <c r="AS378" s="819"/>
      <c r="AT378" s="819"/>
      <c r="AU378" s="819"/>
      <c r="AV378" s="819"/>
      <c r="AW378" s="819"/>
      <c r="AX378" s="819"/>
      <c r="AY378" s="819"/>
      <c r="AZ378" s="819"/>
      <c r="BA378" s="819"/>
    </row>
    <row r="379" spans="1:54" ht="14.1" customHeight="1" thickTop="1">
      <c r="A379" s="556"/>
      <c r="B379" s="1324"/>
      <c r="C379" s="819"/>
      <c r="D379" s="819"/>
      <c r="E379" s="819"/>
      <c r="F379" s="819"/>
      <c r="G379" s="819"/>
      <c r="H379" s="819"/>
      <c r="I379" s="819"/>
      <c r="J379" s="819"/>
      <c r="K379" s="819"/>
      <c r="L379" s="819"/>
      <c r="M379" s="819"/>
      <c r="N379" s="819"/>
      <c r="O379" s="819"/>
      <c r="P379" s="819"/>
      <c r="Q379" s="819"/>
      <c r="R379" s="819"/>
      <c r="S379" s="819"/>
      <c r="T379" s="819"/>
      <c r="U379" s="819"/>
      <c r="V379" s="819"/>
      <c r="W379" s="819"/>
      <c r="X379" s="819"/>
      <c r="Y379" s="819"/>
      <c r="Z379" s="819"/>
      <c r="AA379" s="819"/>
      <c r="AB379" s="819"/>
      <c r="AC379" s="819"/>
      <c r="AE379" s="819"/>
      <c r="AF379" s="819"/>
      <c r="AG379" s="819"/>
      <c r="AH379" s="819"/>
      <c r="AI379" s="819"/>
      <c r="AJ379" s="819"/>
      <c r="AK379" s="819"/>
      <c r="AL379" s="819"/>
      <c r="AM379" s="819"/>
      <c r="AN379" s="819"/>
      <c r="AO379" s="819"/>
      <c r="AP379" s="819"/>
      <c r="AQ379" s="819"/>
      <c r="AR379" s="819"/>
      <c r="AS379" s="819"/>
      <c r="AT379" s="819"/>
      <c r="AU379" s="819"/>
      <c r="AV379" s="819"/>
      <c r="AW379" s="819"/>
      <c r="AX379" s="819"/>
      <c r="AY379" s="819"/>
      <c r="AZ379" s="819"/>
      <c r="BA379" s="819"/>
    </row>
    <row r="380" spans="1:54" ht="14.1" customHeight="1">
      <c r="A380" s="2021" t="s">
        <v>1519</v>
      </c>
      <c r="B380" s="2021"/>
      <c r="C380" s="2021"/>
      <c r="D380" s="2021"/>
      <c r="E380" s="2021"/>
      <c r="F380" s="2021"/>
      <c r="G380" s="2021"/>
      <c r="H380" s="2021"/>
      <c r="I380" s="2021"/>
      <c r="J380" s="2021"/>
      <c r="K380" s="2021"/>
      <c r="L380" s="2021"/>
      <c r="M380" s="2021"/>
      <c r="N380" s="2021"/>
      <c r="O380" s="2021"/>
      <c r="P380" s="2021"/>
      <c r="Q380" s="2021"/>
      <c r="R380" s="2021"/>
      <c r="S380" s="2021"/>
      <c r="T380" s="2021"/>
      <c r="U380" s="819"/>
      <c r="V380" s="819"/>
      <c r="W380" s="819"/>
      <c r="X380" s="819"/>
      <c r="Y380" s="819"/>
      <c r="Z380" s="819"/>
      <c r="AA380" s="819"/>
      <c r="AB380" s="819"/>
      <c r="AC380" s="819"/>
      <c r="AE380" s="819"/>
      <c r="AF380" s="819"/>
      <c r="AG380" s="819"/>
      <c r="AH380" s="819"/>
      <c r="AI380" s="819"/>
      <c r="AJ380" s="819"/>
      <c r="AK380" s="819"/>
      <c r="AL380" s="819"/>
      <c r="AM380" s="819"/>
      <c r="AN380" s="819"/>
      <c r="AO380" s="819"/>
      <c r="AP380" s="819"/>
      <c r="AQ380" s="819"/>
      <c r="AR380" s="819"/>
      <c r="AS380" s="819"/>
      <c r="AT380" s="819"/>
      <c r="AU380" s="819"/>
      <c r="AV380" s="819"/>
      <c r="AW380" s="819"/>
      <c r="AX380" s="819"/>
      <c r="AY380" s="819"/>
      <c r="AZ380" s="819"/>
      <c r="BA380" s="819"/>
    </row>
    <row r="381" spans="1:54" ht="14.1" customHeight="1">
      <c r="A381" s="1402"/>
      <c r="B381" s="1402"/>
      <c r="C381" s="1402"/>
      <c r="D381" s="1402"/>
      <c r="E381" s="1402"/>
      <c r="F381" s="1402"/>
      <c r="G381" s="1402"/>
      <c r="H381" s="1402"/>
      <c r="I381" s="1402"/>
      <c r="J381" s="1402"/>
      <c r="K381" s="1402"/>
      <c r="L381" s="1402"/>
      <c r="M381" s="1402"/>
      <c r="N381" s="1402"/>
      <c r="O381" s="1402"/>
      <c r="P381" s="1402"/>
      <c r="Q381" s="1402"/>
      <c r="R381" s="1402"/>
      <c r="S381" s="1402"/>
      <c r="T381" s="1402"/>
      <c r="U381" s="819"/>
      <c r="V381" s="819"/>
      <c r="W381" s="819"/>
      <c r="X381" s="819"/>
      <c r="Y381" s="819"/>
      <c r="Z381" s="819"/>
      <c r="AA381" s="819"/>
      <c r="AB381" s="819"/>
      <c r="AC381" s="819"/>
      <c r="AE381" s="819"/>
      <c r="AF381" s="819"/>
      <c r="AG381" s="819"/>
      <c r="AH381" s="819"/>
      <c r="AI381" s="819"/>
      <c r="AJ381" s="819"/>
      <c r="AK381" s="819"/>
      <c r="AL381" s="819"/>
      <c r="AM381" s="819"/>
      <c r="AN381" s="819"/>
      <c r="AO381" s="819"/>
      <c r="AP381" s="819"/>
      <c r="AQ381" s="819"/>
      <c r="AR381" s="819"/>
      <c r="AS381" s="819"/>
      <c r="AT381" s="819"/>
      <c r="AU381" s="819"/>
      <c r="AV381" s="819"/>
      <c r="AW381" s="819"/>
      <c r="AX381" s="819"/>
      <c r="AY381" s="819"/>
      <c r="AZ381" s="819"/>
      <c r="BA381" s="819"/>
    </row>
    <row r="382" spans="1:54" ht="14.1" customHeight="1">
      <c r="A382" s="1402"/>
      <c r="B382" s="1402"/>
      <c r="C382" s="1402"/>
      <c r="D382" s="1402"/>
      <c r="E382" s="1402"/>
      <c r="F382" s="1402"/>
      <c r="G382" s="1402"/>
      <c r="H382" s="1402"/>
      <c r="I382" s="1402"/>
      <c r="J382" s="1402"/>
      <c r="K382" s="1402"/>
      <c r="L382" s="1402"/>
      <c r="M382" s="1402"/>
      <c r="N382" s="1402"/>
      <c r="O382" s="1402"/>
      <c r="P382" s="1402"/>
      <c r="Q382" s="1402"/>
      <c r="R382" s="1402"/>
      <c r="S382" s="1402"/>
      <c r="T382" s="1402"/>
      <c r="U382" s="819"/>
      <c r="V382" s="819"/>
      <c r="W382" s="819"/>
      <c r="X382" s="819"/>
      <c r="Y382" s="819"/>
      <c r="Z382" s="819"/>
      <c r="AA382" s="819"/>
      <c r="AB382" s="819"/>
      <c r="AC382" s="819"/>
      <c r="AE382" s="819"/>
      <c r="AF382" s="819"/>
      <c r="AG382" s="819"/>
      <c r="AH382" s="819"/>
      <c r="AI382" s="819"/>
      <c r="AJ382" s="819"/>
      <c r="AK382" s="819"/>
      <c r="AL382" s="819"/>
      <c r="AM382" s="819"/>
      <c r="AN382" s="819"/>
      <c r="AO382" s="819"/>
      <c r="AP382" s="819"/>
      <c r="AQ382" s="819"/>
      <c r="AR382" s="819"/>
      <c r="AS382" s="819"/>
      <c r="AT382" s="819"/>
      <c r="AU382" s="819"/>
      <c r="AV382" s="819"/>
      <c r="AW382" s="819"/>
      <c r="AX382" s="819"/>
      <c r="AY382" s="819"/>
      <c r="AZ382" s="819"/>
      <c r="BA382" s="819"/>
    </row>
    <row r="383" spans="1:54" ht="14.1" customHeight="1" thickBot="1">
      <c r="A383" s="1402"/>
      <c r="B383" s="1403"/>
      <c r="C383" s="548"/>
      <c r="D383" s="1402"/>
      <c r="E383" s="1402"/>
      <c r="F383" s="1402"/>
      <c r="G383" s="1402"/>
      <c r="H383" s="1402"/>
      <c r="I383" s="1402"/>
      <c r="J383" s="1402"/>
      <c r="K383" s="1402"/>
      <c r="L383" s="1402"/>
      <c r="M383" s="1402"/>
      <c r="N383" s="1402"/>
      <c r="O383" s="1402"/>
      <c r="P383" s="1402"/>
      <c r="Q383" s="1402"/>
      <c r="R383" s="552"/>
      <c r="S383" s="1402"/>
      <c r="T383" s="1402"/>
      <c r="U383" s="819"/>
      <c r="V383" s="819"/>
      <c r="W383" s="819"/>
      <c r="X383" s="819"/>
      <c r="Y383" s="819"/>
      <c r="Z383" s="819"/>
      <c r="AA383" s="819"/>
      <c r="AB383" s="819"/>
      <c r="AC383" s="819"/>
      <c r="AE383" s="819"/>
      <c r="AF383" s="819"/>
      <c r="AG383" s="819"/>
      <c r="AH383" s="819"/>
      <c r="AI383" s="819"/>
      <c r="AJ383" s="819"/>
      <c r="AK383" s="819"/>
      <c r="AL383" s="819"/>
      <c r="AM383" s="819"/>
      <c r="AN383" s="819"/>
      <c r="AO383" s="819"/>
      <c r="AP383" s="819"/>
      <c r="AQ383" s="819"/>
      <c r="AR383" s="819"/>
      <c r="AS383" s="819"/>
      <c r="AT383" s="819"/>
      <c r="AU383" s="819"/>
      <c r="AV383" s="819"/>
      <c r="AW383" s="819"/>
      <c r="AX383" s="819"/>
      <c r="AY383" s="819"/>
      <c r="AZ383" s="819"/>
      <c r="BA383" s="819"/>
    </row>
    <row r="384" spans="1:54" ht="14.1" customHeight="1" thickTop="1" thickBot="1">
      <c r="A384" s="1402"/>
      <c r="B384" s="1403"/>
      <c r="C384" s="548"/>
      <c r="D384" s="1408"/>
      <c r="E384" s="2009" t="s">
        <v>1483</v>
      </c>
      <c r="F384" s="1408"/>
      <c r="G384" s="1332"/>
      <c r="H384" s="1332"/>
      <c r="I384" s="1408"/>
      <c r="J384" s="2009" t="s">
        <v>1512</v>
      </c>
      <c r="K384" s="1408"/>
      <c r="L384" s="1332"/>
      <c r="M384" s="1408"/>
      <c r="N384" s="1332"/>
      <c r="O384" s="2009" t="s">
        <v>512</v>
      </c>
      <c r="P384" s="573"/>
      <c r="Q384" s="568"/>
      <c r="R384" s="1402"/>
      <c r="S384" s="1402"/>
      <c r="T384" s="1402"/>
      <c r="U384" s="819"/>
      <c r="V384" s="819"/>
      <c r="W384" s="819"/>
      <c r="X384" s="819"/>
      <c r="Y384" s="819"/>
      <c r="Z384" s="819"/>
      <c r="AA384" s="819"/>
      <c r="AB384" s="819"/>
      <c r="AC384" s="819"/>
      <c r="AE384" s="819"/>
      <c r="AF384" s="819"/>
      <c r="AG384" s="819"/>
      <c r="AH384" s="819"/>
      <c r="AI384" s="819"/>
      <c r="AJ384" s="819"/>
      <c r="AK384" s="819"/>
      <c r="AL384" s="819"/>
      <c r="AM384" s="819"/>
      <c r="AN384" s="819"/>
      <c r="AO384" s="819"/>
      <c r="AP384" s="819"/>
      <c r="AQ384" s="819"/>
      <c r="AR384" s="819"/>
      <c r="AS384" s="819"/>
      <c r="AT384" s="819"/>
      <c r="AU384" s="819"/>
      <c r="AV384" s="819"/>
      <c r="AW384" s="819"/>
      <c r="AX384" s="819"/>
      <c r="AY384" s="819"/>
      <c r="AZ384" s="819"/>
      <c r="BA384" s="819"/>
    </row>
    <row r="385" spans="1:57" ht="14.1" customHeight="1" thickTop="1" thickBot="1">
      <c r="A385" s="1402"/>
      <c r="B385" s="1403"/>
      <c r="C385" s="558"/>
      <c r="D385" s="559"/>
      <c r="E385" s="2010"/>
      <c r="G385" s="554"/>
      <c r="J385" s="2010"/>
      <c r="L385" s="554"/>
      <c r="M385" s="1403"/>
      <c r="O385" s="2010"/>
      <c r="P385" s="574"/>
      <c r="Q385" s="553"/>
      <c r="R385" s="1402"/>
      <c r="S385" s="1402"/>
      <c r="T385" s="1402"/>
      <c r="U385" s="819"/>
      <c r="V385" s="819"/>
      <c r="W385" s="819"/>
      <c r="X385" s="819"/>
      <c r="Y385" s="819"/>
      <c r="Z385" s="819"/>
      <c r="AA385" s="819"/>
      <c r="AB385" s="819"/>
      <c r="AC385" s="819"/>
      <c r="AE385" s="819"/>
      <c r="AF385" s="819"/>
      <c r="AG385" s="819"/>
      <c r="AH385" s="819"/>
      <c r="AI385" s="819"/>
      <c r="AJ385" s="819"/>
      <c r="AK385" s="819"/>
      <c r="AL385" s="819"/>
      <c r="AM385" s="819"/>
      <c r="AN385" s="819"/>
      <c r="AO385" s="819"/>
      <c r="AP385" s="819"/>
      <c r="AQ385" s="819"/>
      <c r="AR385" s="819"/>
      <c r="AS385" s="819"/>
      <c r="AT385" s="819"/>
      <c r="AU385" s="819"/>
      <c r="AV385" s="819"/>
      <c r="AW385" s="819"/>
      <c r="AX385" s="819"/>
      <c r="AY385" s="819"/>
      <c r="AZ385" s="819"/>
      <c r="BA385" s="819"/>
      <c r="BC385" s="819"/>
      <c r="BD385" s="819"/>
      <c r="BE385" s="819"/>
    </row>
    <row r="386" spans="1:57" ht="14.1" customHeight="1" thickTop="1">
      <c r="A386" s="1402"/>
      <c r="B386" s="1403"/>
      <c r="C386" s="548"/>
      <c r="D386" s="1402"/>
      <c r="E386" s="1402"/>
      <c r="F386" s="1402"/>
      <c r="G386" s="554"/>
      <c r="H386" s="1402"/>
      <c r="I386" s="1402"/>
      <c r="J386" s="1402"/>
      <c r="K386" s="1402"/>
      <c r="L386" s="554"/>
      <c r="M386" s="1402"/>
      <c r="N386" s="1402"/>
      <c r="O386" s="1402"/>
      <c r="P386" s="1402"/>
      <c r="R386" s="552"/>
      <c r="S386" s="1402"/>
      <c r="T386" s="1402"/>
      <c r="U386" s="819"/>
      <c r="V386" s="819"/>
      <c r="W386" s="819"/>
      <c r="X386" s="819"/>
      <c r="Y386" s="819"/>
      <c r="Z386" s="819"/>
      <c r="AA386" s="819"/>
      <c r="AB386" s="819"/>
      <c r="AC386" s="819"/>
      <c r="AE386" s="819"/>
      <c r="AF386" s="819"/>
      <c r="AG386" s="819"/>
      <c r="AH386" s="819"/>
      <c r="AI386" s="819"/>
      <c r="AJ386" s="819"/>
      <c r="AK386" s="819"/>
      <c r="AL386" s="819"/>
      <c r="AM386" s="819"/>
      <c r="AN386" s="819"/>
      <c r="AO386" s="819"/>
      <c r="AP386" s="819"/>
      <c r="AQ386" s="819"/>
      <c r="AR386" s="819"/>
      <c r="AS386" s="819"/>
      <c r="AT386" s="819"/>
      <c r="AU386" s="819"/>
      <c r="AV386" s="819"/>
      <c r="AW386" s="819"/>
      <c r="AX386" s="819"/>
      <c r="AY386" s="819"/>
      <c r="AZ386" s="819"/>
      <c r="BA386" s="819"/>
      <c r="BC386" s="819"/>
      <c r="BD386" s="819"/>
      <c r="BE386" s="819"/>
    </row>
    <row r="387" spans="1:57" ht="14.1" customHeight="1">
      <c r="C387" s="548"/>
      <c r="G387" s="554"/>
      <c r="L387" s="554"/>
      <c r="R387" s="552"/>
      <c r="AC387" s="819"/>
      <c r="AE387" s="819"/>
      <c r="AF387" s="819"/>
      <c r="AG387" s="819"/>
      <c r="AH387" s="819"/>
      <c r="AI387" s="819"/>
      <c r="AJ387" s="819"/>
      <c r="AK387" s="819"/>
      <c r="AL387" s="819"/>
      <c r="AM387" s="819"/>
      <c r="AN387" s="819"/>
      <c r="AO387" s="819"/>
      <c r="AP387" s="819"/>
      <c r="AQ387" s="819"/>
      <c r="AR387" s="819"/>
      <c r="AS387" s="819"/>
      <c r="AT387" s="819"/>
      <c r="AU387" s="819"/>
      <c r="AV387" s="819"/>
      <c r="AW387" s="819"/>
      <c r="AX387" s="819"/>
      <c r="AY387" s="819"/>
      <c r="AZ387" s="819"/>
      <c r="BB387" s="819"/>
      <c r="BC387" s="819"/>
      <c r="BD387" s="819"/>
      <c r="BE387" s="819"/>
    </row>
    <row r="388" spans="1:57" ht="14.1" customHeight="1">
      <c r="C388" s="548"/>
      <c r="G388" s="2012" t="s">
        <v>1513</v>
      </c>
      <c r="H388" s="2012"/>
      <c r="L388" s="2012" t="s">
        <v>1484</v>
      </c>
      <c r="M388" s="2012"/>
      <c r="R388" s="552"/>
      <c r="AC388" s="819"/>
      <c r="AE388" s="819"/>
      <c r="AF388" s="819"/>
      <c r="AG388" s="819"/>
      <c r="AH388" s="819"/>
      <c r="AI388" s="819"/>
      <c r="AJ388" s="819"/>
      <c r="AK388" s="819"/>
      <c r="AL388" s="819"/>
      <c r="AM388" s="819"/>
      <c r="AN388" s="819"/>
      <c r="AO388" s="819"/>
      <c r="AP388" s="819"/>
      <c r="AQ388" s="819"/>
      <c r="AR388" s="819"/>
      <c r="AS388" s="819"/>
      <c r="AT388" s="819"/>
      <c r="AU388" s="819"/>
      <c r="AV388" s="819"/>
      <c r="AW388" s="819"/>
      <c r="AX388" s="819"/>
      <c r="AY388" s="819"/>
      <c r="AZ388" s="819"/>
      <c r="BB388" s="819"/>
      <c r="BC388" s="819"/>
      <c r="BD388" s="819"/>
      <c r="BE388" s="819"/>
    </row>
    <row r="389" spans="1:57" ht="13.8" thickBot="1">
      <c r="A389" s="1403"/>
      <c r="B389" s="1403"/>
      <c r="C389" s="548"/>
      <c r="D389" s="1403"/>
      <c r="E389" s="1403"/>
      <c r="R389" s="552"/>
      <c r="Z389" s="819"/>
      <c r="AA389" s="819"/>
      <c r="AB389" s="819"/>
    </row>
    <row r="390" spans="1:57" ht="14.1" customHeight="1" thickTop="1" thickBot="1">
      <c r="A390" s="1403"/>
      <c r="B390" s="1403"/>
      <c r="C390" s="549"/>
      <c r="D390" s="1408"/>
      <c r="E390" s="2009" t="s">
        <v>1478</v>
      </c>
      <c r="F390" s="1408"/>
      <c r="G390" s="1332"/>
      <c r="H390" s="1332"/>
      <c r="I390" s="1408"/>
      <c r="J390" s="2009" t="s">
        <v>1479</v>
      </c>
      <c r="K390" s="1408"/>
      <c r="L390" s="1332"/>
      <c r="M390" s="1408"/>
      <c r="N390" s="1332"/>
      <c r="O390" s="2009" t="s">
        <v>1481</v>
      </c>
      <c r="P390" s="573"/>
      <c r="Q390" s="568"/>
      <c r="R390" s="1337"/>
      <c r="S390" s="819"/>
      <c r="T390" s="2008"/>
      <c r="U390" s="2008"/>
      <c r="V390" s="533"/>
      <c r="X390" s="819"/>
      <c r="Y390" s="819"/>
      <c r="Z390" s="819"/>
      <c r="AA390" s="819"/>
      <c r="AB390" s="819"/>
      <c r="AC390" s="819"/>
      <c r="AD390" s="609"/>
      <c r="AE390" s="819"/>
      <c r="AF390" s="819"/>
      <c r="AG390" s="819"/>
      <c r="AH390" s="819"/>
      <c r="AI390" s="819"/>
      <c r="AJ390" s="819"/>
      <c r="AK390" s="819"/>
      <c r="AL390" s="819"/>
      <c r="AM390" s="819"/>
      <c r="AN390" s="819"/>
      <c r="AO390" s="819"/>
      <c r="AP390" s="819"/>
      <c r="AQ390" s="819"/>
      <c r="AR390" s="819"/>
      <c r="AS390" s="819"/>
      <c r="AT390" s="819"/>
      <c r="AU390" s="819"/>
      <c r="AV390" s="819"/>
      <c r="AW390" s="819"/>
      <c r="AX390" s="819"/>
      <c r="AY390" s="819"/>
      <c r="AZ390" s="819"/>
      <c r="BA390" s="819"/>
      <c r="BB390" s="819"/>
      <c r="BC390" s="819"/>
      <c r="BD390" s="819"/>
    </row>
    <row r="391" spans="1:57" ht="12.75" customHeight="1" thickTop="1" thickBot="1">
      <c r="A391" s="1403"/>
      <c r="B391" s="1403"/>
      <c r="C391" s="558"/>
      <c r="D391" s="559"/>
      <c r="E391" s="2010"/>
      <c r="G391" s="554"/>
      <c r="J391" s="2010"/>
      <c r="L391" s="554"/>
      <c r="M391" s="1403"/>
      <c r="O391" s="2010"/>
      <c r="P391" s="574"/>
      <c r="Q391" s="553"/>
      <c r="R391" s="552"/>
      <c r="X391" s="819"/>
      <c r="Y391" s="819"/>
      <c r="Z391" s="819"/>
      <c r="AA391" s="819"/>
      <c r="AB391" s="819"/>
      <c r="AC391" s="819"/>
      <c r="AE391" s="819"/>
      <c r="AF391" s="819"/>
      <c r="AG391" s="819"/>
      <c r="AH391" s="819"/>
      <c r="AI391" s="819"/>
      <c r="AJ391" s="819"/>
      <c r="AK391" s="819"/>
      <c r="AL391" s="819"/>
      <c r="AM391" s="819"/>
      <c r="AN391" s="819"/>
      <c r="AO391" s="819"/>
      <c r="AP391" s="819"/>
      <c r="AQ391" s="819"/>
      <c r="AR391" s="819"/>
      <c r="AS391" s="819"/>
      <c r="AT391" s="819"/>
      <c r="AU391" s="819"/>
      <c r="AV391" s="819"/>
      <c r="AW391" s="819"/>
      <c r="AX391" s="819"/>
      <c r="AY391" s="819"/>
      <c r="AZ391" s="819"/>
      <c r="BA391" s="819"/>
      <c r="BB391" s="819"/>
      <c r="BD391" s="819"/>
      <c r="BE391" s="819"/>
    </row>
    <row r="392" spans="1:57" ht="12.75" customHeight="1" thickTop="1">
      <c r="A392" s="1403"/>
      <c r="B392" s="1403"/>
      <c r="C392" s="548"/>
      <c r="D392" s="1403"/>
      <c r="E392" s="1403"/>
      <c r="G392" s="554"/>
      <c r="L392" s="554"/>
      <c r="N392" s="819"/>
      <c r="Q392" s="1403"/>
      <c r="R392" s="548"/>
      <c r="Y392" s="819"/>
      <c r="Z392" s="819"/>
      <c r="AA392" s="819"/>
      <c r="AB392" s="819"/>
      <c r="AC392" s="819"/>
      <c r="AE392" s="819"/>
      <c r="AF392" s="819"/>
      <c r="AG392" s="819"/>
      <c r="AH392" s="819"/>
      <c r="AI392" s="819"/>
      <c r="AJ392" s="819"/>
      <c r="AK392" s="819"/>
      <c r="AL392" s="819"/>
      <c r="AM392" s="819"/>
      <c r="AN392" s="819"/>
      <c r="AO392" s="819"/>
      <c r="AP392" s="819"/>
      <c r="AQ392" s="819"/>
      <c r="AR392" s="819"/>
      <c r="AS392" s="819"/>
      <c r="AT392" s="819"/>
      <c r="AU392" s="819"/>
      <c r="AV392" s="819"/>
      <c r="AW392" s="819"/>
      <c r="AX392" s="819"/>
      <c r="AY392" s="819"/>
      <c r="AZ392" s="819"/>
      <c r="BA392" s="819"/>
      <c r="BB392" s="819"/>
      <c r="BD392" s="819"/>
      <c r="BE392" s="819"/>
    </row>
    <row r="393" spans="1:57" ht="14.1" customHeight="1">
      <c r="C393" s="552"/>
      <c r="G393" s="567"/>
      <c r="H393" s="533"/>
      <c r="L393" s="567"/>
      <c r="M393" s="533"/>
      <c r="N393" s="819"/>
      <c r="R393" s="552"/>
      <c r="AC393" s="819"/>
      <c r="AD393" s="609"/>
      <c r="AE393" s="819"/>
      <c r="AF393" s="819"/>
      <c r="AG393" s="819"/>
      <c r="AH393" s="819"/>
      <c r="AI393" s="819"/>
      <c r="AJ393" s="819"/>
      <c r="AK393" s="819"/>
      <c r="AL393" s="819"/>
      <c r="AM393" s="819"/>
      <c r="AN393" s="819"/>
      <c r="AO393" s="819"/>
      <c r="AP393" s="819"/>
      <c r="AQ393" s="819"/>
      <c r="AR393" s="819"/>
      <c r="AS393" s="819"/>
      <c r="AT393" s="819"/>
      <c r="AU393" s="819"/>
      <c r="AV393" s="819"/>
      <c r="AW393" s="819"/>
      <c r="AX393" s="819"/>
      <c r="AY393" s="819"/>
      <c r="AZ393" s="819"/>
      <c r="BA393" s="819"/>
      <c r="BB393" s="819"/>
      <c r="BC393" s="819"/>
      <c r="BD393" s="819"/>
    </row>
    <row r="394" spans="1:57">
      <c r="C394" s="552"/>
      <c r="G394" s="2012" t="s">
        <v>338</v>
      </c>
      <c r="H394" s="2012"/>
      <c r="L394" s="2012" t="s">
        <v>1480</v>
      </c>
      <c r="M394" s="2012"/>
      <c r="N394" s="819"/>
      <c r="R394" s="552"/>
    </row>
    <row r="395" spans="1:57" ht="13.8" thickBot="1">
      <c r="A395" s="1403"/>
      <c r="B395" s="1403"/>
      <c r="C395" s="548"/>
      <c r="D395" s="1403"/>
      <c r="E395" s="1403"/>
      <c r="R395" s="552"/>
      <c r="Z395" s="819"/>
      <c r="AA395" s="819"/>
      <c r="AB395" s="819"/>
    </row>
    <row r="396" spans="1:57" ht="14.1" customHeight="1" thickTop="1" thickBot="1">
      <c r="A396" s="1403"/>
      <c r="B396" s="1403"/>
      <c r="C396" s="549"/>
      <c r="D396" s="1408"/>
      <c r="E396" s="2007" t="s">
        <v>69</v>
      </c>
      <c r="F396" s="1408"/>
      <c r="G396" s="1332"/>
      <c r="H396" s="1332"/>
      <c r="I396" s="1408"/>
      <c r="J396" s="2005" t="s">
        <v>1473</v>
      </c>
      <c r="K396" s="1408"/>
      <c r="L396" s="1332"/>
      <c r="M396" s="1408"/>
      <c r="N396" s="1332"/>
      <c r="O396" s="2007" t="s">
        <v>1475</v>
      </c>
      <c r="P396" s="575"/>
      <c r="Q396" s="568"/>
      <c r="R396" s="1337"/>
      <c r="S396" s="819"/>
      <c r="T396" s="2008"/>
      <c r="U396" s="2008"/>
      <c r="V396" s="533"/>
      <c r="X396" s="819"/>
      <c r="Y396" s="819"/>
      <c r="Z396" s="819"/>
      <c r="AA396" s="819"/>
      <c r="AB396" s="819"/>
      <c r="AC396" s="819"/>
      <c r="AD396" s="609"/>
      <c r="AE396" s="819"/>
      <c r="AF396" s="819"/>
      <c r="AG396" s="819"/>
      <c r="AH396" s="819"/>
      <c r="AI396" s="819"/>
      <c r="AJ396" s="819"/>
      <c r="AK396" s="819"/>
      <c r="AL396" s="819"/>
      <c r="AM396" s="819"/>
      <c r="AN396" s="819"/>
      <c r="AO396" s="819"/>
      <c r="AP396" s="819"/>
      <c r="AQ396" s="819"/>
      <c r="AR396" s="819"/>
      <c r="AS396" s="819"/>
      <c r="AT396" s="819"/>
      <c r="AU396" s="819"/>
      <c r="AV396" s="819"/>
      <c r="AW396" s="819"/>
      <c r="AX396" s="819"/>
      <c r="AY396" s="819"/>
      <c r="AZ396" s="819"/>
      <c r="BA396" s="819"/>
      <c r="BB396" s="819"/>
      <c r="BC396" s="819"/>
      <c r="BD396" s="819"/>
    </row>
    <row r="397" spans="1:57" ht="12.75" customHeight="1" thickTop="1" thickBot="1">
      <c r="A397" s="1403"/>
      <c r="B397" s="1403"/>
      <c r="C397" s="558"/>
      <c r="D397" s="559"/>
      <c r="E397" s="2007"/>
      <c r="G397" s="554"/>
      <c r="J397" s="2006"/>
      <c r="L397" s="554"/>
      <c r="M397" s="1403"/>
      <c r="O397" s="2007"/>
      <c r="P397" s="576"/>
      <c r="Q397" s="553"/>
      <c r="R397" s="552"/>
      <c r="X397" s="819"/>
      <c r="Y397" s="819"/>
      <c r="Z397" s="819"/>
      <c r="AA397" s="819"/>
      <c r="AB397" s="819"/>
      <c r="AC397" s="819"/>
      <c r="AE397" s="819"/>
      <c r="AF397" s="819"/>
      <c r="AG397" s="819"/>
      <c r="AH397" s="819"/>
      <c r="AI397" s="819"/>
      <c r="AJ397" s="819"/>
      <c r="AK397" s="819"/>
      <c r="AL397" s="819"/>
      <c r="AM397" s="819"/>
      <c r="AN397" s="819"/>
      <c r="AO397" s="819"/>
      <c r="AP397" s="819"/>
      <c r="AQ397" s="819"/>
      <c r="AR397" s="819"/>
      <c r="AS397" s="819"/>
      <c r="AT397" s="819"/>
      <c r="AU397" s="819"/>
      <c r="AV397" s="819"/>
      <c r="AW397" s="819"/>
      <c r="AX397" s="819"/>
      <c r="AY397" s="819"/>
      <c r="AZ397" s="819"/>
      <c r="BA397" s="819"/>
      <c r="BB397" s="819"/>
      <c r="BD397" s="819"/>
      <c r="BE397" s="819"/>
    </row>
    <row r="398" spans="1:57" ht="12.75" customHeight="1">
      <c r="A398" s="1403"/>
      <c r="B398" s="1403"/>
      <c r="C398" s="548"/>
      <c r="D398" s="1403"/>
      <c r="E398" s="1403"/>
      <c r="G398" s="554"/>
      <c r="L398" s="554"/>
      <c r="N398" s="819"/>
      <c r="Q398" s="1403"/>
      <c r="R398" s="548"/>
      <c r="Y398" s="819"/>
      <c r="Z398" s="819"/>
      <c r="AA398" s="819"/>
      <c r="AB398" s="819"/>
      <c r="AC398" s="819"/>
      <c r="AE398" s="819"/>
      <c r="AF398" s="819"/>
      <c r="AG398" s="819"/>
      <c r="AH398" s="819"/>
      <c r="AI398" s="819"/>
      <c r="AJ398" s="819"/>
      <c r="AK398" s="819"/>
      <c r="AL398" s="819"/>
      <c r="AM398" s="819"/>
      <c r="AN398" s="819"/>
      <c r="AO398" s="819"/>
      <c r="AP398" s="819"/>
      <c r="AQ398" s="819"/>
      <c r="AR398" s="819"/>
      <c r="AS398" s="819"/>
      <c r="AT398" s="819"/>
      <c r="AU398" s="819"/>
      <c r="AV398" s="819"/>
      <c r="AW398" s="819"/>
      <c r="AX398" s="819"/>
      <c r="AY398" s="819"/>
      <c r="AZ398" s="819"/>
      <c r="BA398" s="819"/>
      <c r="BB398" s="819"/>
      <c r="BD398" s="819"/>
      <c r="BE398" s="819"/>
    </row>
    <row r="399" spans="1:57" ht="14.1" customHeight="1">
      <c r="B399" s="2011"/>
      <c r="C399" s="2011"/>
      <c r="G399" s="567"/>
      <c r="H399" s="533"/>
      <c r="L399" s="567"/>
      <c r="M399" s="533"/>
      <c r="N399" s="819"/>
      <c r="AC399" s="819"/>
      <c r="AD399" s="609"/>
      <c r="AE399" s="819"/>
      <c r="AF399" s="819"/>
      <c r="AG399" s="819"/>
      <c r="AH399" s="819"/>
      <c r="AI399" s="819"/>
      <c r="AJ399" s="819"/>
      <c r="AK399" s="819"/>
      <c r="AL399" s="819"/>
      <c r="AM399" s="819"/>
      <c r="AN399" s="819"/>
      <c r="AO399" s="819"/>
      <c r="AP399" s="819"/>
      <c r="AQ399" s="819"/>
      <c r="AR399" s="819"/>
      <c r="AS399" s="819"/>
      <c r="AT399" s="819"/>
      <c r="AU399" s="819"/>
      <c r="AV399" s="819"/>
      <c r="AW399" s="819"/>
      <c r="AX399" s="819"/>
      <c r="AY399" s="819"/>
      <c r="AZ399" s="819"/>
      <c r="BA399" s="819"/>
      <c r="BB399" s="819"/>
      <c r="BC399" s="819"/>
      <c r="BD399" s="819"/>
    </row>
    <row r="400" spans="1:57" ht="12.75" customHeight="1">
      <c r="B400" s="2011"/>
      <c r="C400" s="2011"/>
      <c r="G400" s="2012" t="s">
        <v>334</v>
      </c>
      <c r="H400" s="2012"/>
      <c r="L400" s="2011" t="s">
        <v>349</v>
      </c>
      <c r="M400" s="2011"/>
      <c r="N400" s="819"/>
    </row>
    <row r="401" spans="1:54" ht="12.75" customHeight="1">
      <c r="G401" s="764"/>
      <c r="H401" s="764"/>
      <c r="L401" s="2011"/>
      <c r="M401" s="2011"/>
    </row>
    <row r="402" spans="1:54" ht="12.75" customHeight="1">
      <c r="L402" s="2012" t="s">
        <v>1520</v>
      </c>
      <c r="M402" s="2012"/>
    </row>
    <row r="403" spans="1:54" ht="12.75" customHeight="1">
      <c r="A403" s="1403"/>
      <c r="B403" s="1403"/>
      <c r="C403" s="2008" t="s">
        <v>1476</v>
      </c>
      <c r="D403" s="2008"/>
      <c r="U403" s="819"/>
      <c r="V403" s="819"/>
      <c r="W403" s="819"/>
      <c r="X403" s="819"/>
      <c r="Y403" s="819"/>
      <c r="Z403" s="819"/>
      <c r="AA403" s="819"/>
      <c r="AB403" s="819"/>
    </row>
    <row r="404" spans="1:54" ht="14.1" customHeight="1">
      <c r="A404" s="819"/>
      <c r="B404" s="819"/>
      <c r="C404" s="819"/>
      <c r="D404" s="2093" t="s">
        <v>1521</v>
      </c>
      <c r="E404" s="2093"/>
      <c r="F404" s="2093"/>
      <c r="G404" s="2093"/>
      <c r="H404" s="2093"/>
      <c r="I404" s="2093"/>
      <c r="J404" s="2093"/>
      <c r="K404" s="2093"/>
      <c r="L404" s="2093"/>
      <c r="M404" s="2093"/>
      <c r="N404" s="2093"/>
      <c r="O404" s="2093"/>
      <c r="P404" s="2093"/>
      <c r="Q404" s="2093"/>
      <c r="R404" s="2093"/>
      <c r="S404" s="2093"/>
      <c r="T404" s="2093"/>
      <c r="U404" s="2093"/>
      <c r="V404" s="2093"/>
      <c r="W404" s="2093"/>
      <c r="X404" s="2093"/>
      <c r="Y404" s="2093"/>
      <c r="Z404" s="2093"/>
      <c r="AA404" s="2093"/>
      <c r="AB404" s="2093"/>
      <c r="AC404" s="819"/>
      <c r="AE404" s="819"/>
      <c r="AF404" s="819"/>
      <c r="AG404" s="819"/>
      <c r="AH404" s="819"/>
      <c r="AI404" s="819"/>
      <c r="AJ404" s="819"/>
      <c r="AK404" s="819"/>
      <c r="AL404" s="819"/>
      <c r="AM404" s="819"/>
      <c r="AN404" s="819"/>
      <c r="AO404" s="819"/>
      <c r="AP404" s="819"/>
      <c r="AQ404" s="819"/>
      <c r="AR404" s="819"/>
      <c r="AS404" s="819"/>
      <c r="AT404" s="819"/>
      <c r="AU404" s="819"/>
      <c r="AV404" s="819"/>
      <c r="AW404" s="819"/>
      <c r="AX404" s="819"/>
      <c r="AY404" s="819"/>
      <c r="AZ404" s="819"/>
      <c r="BB404" s="819"/>
    </row>
    <row r="405" spans="1:54" ht="14.1" customHeight="1">
      <c r="A405" s="819"/>
      <c r="B405" s="819"/>
      <c r="C405" s="819"/>
      <c r="D405" s="2093"/>
      <c r="E405" s="2093"/>
      <c r="F405" s="2093"/>
      <c r="G405" s="2093"/>
      <c r="H405" s="2093"/>
      <c r="I405" s="2093"/>
      <c r="J405" s="2093"/>
      <c r="K405" s="2093"/>
      <c r="L405" s="2093"/>
      <c r="M405" s="2093"/>
      <c r="N405" s="2093"/>
      <c r="O405" s="2093"/>
      <c r="P405" s="2093"/>
      <c r="Q405" s="2093"/>
      <c r="R405" s="2093"/>
      <c r="S405" s="2093"/>
      <c r="T405" s="2093"/>
      <c r="U405" s="2093"/>
      <c r="V405" s="2093"/>
      <c r="W405" s="2093"/>
      <c r="X405" s="2093"/>
      <c r="Y405" s="2093"/>
      <c r="Z405" s="2093"/>
      <c r="AA405" s="2093"/>
      <c r="AB405" s="2093"/>
      <c r="AC405" s="819"/>
      <c r="AE405" s="819"/>
      <c r="AF405" s="819"/>
      <c r="AG405" s="819"/>
      <c r="AH405" s="819"/>
      <c r="AI405" s="819"/>
      <c r="AJ405" s="819"/>
      <c r="AK405" s="819"/>
      <c r="AL405" s="819"/>
      <c r="AM405" s="819"/>
      <c r="AN405" s="819"/>
      <c r="AO405" s="819"/>
      <c r="AP405" s="819"/>
      <c r="AQ405" s="819"/>
      <c r="AR405" s="819"/>
      <c r="AS405" s="819"/>
      <c r="AT405" s="819"/>
      <c r="AU405" s="819"/>
      <c r="AV405" s="819"/>
      <c r="AW405" s="819"/>
      <c r="AX405" s="819"/>
      <c r="AY405" s="819"/>
      <c r="AZ405" s="819"/>
      <c r="BA405" s="819"/>
    </row>
    <row r="406" spans="1:54" ht="14.1" customHeight="1">
      <c r="A406" s="819"/>
      <c r="B406" s="819"/>
      <c r="C406" s="819"/>
      <c r="D406" s="2093"/>
      <c r="E406" s="2093"/>
      <c r="F406" s="2093"/>
      <c r="G406" s="2093"/>
      <c r="H406" s="2093"/>
      <c r="I406" s="2093"/>
      <c r="J406" s="2093"/>
      <c r="K406" s="2093"/>
      <c r="L406" s="2093"/>
      <c r="M406" s="2093"/>
      <c r="N406" s="2093"/>
      <c r="O406" s="2093"/>
      <c r="P406" s="2093"/>
      <c r="Q406" s="2093"/>
      <c r="R406" s="2093"/>
      <c r="S406" s="2093"/>
      <c r="T406" s="2093"/>
      <c r="U406" s="2093"/>
      <c r="V406" s="2093"/>
      <c r="W406" s="2093"/>
      <c r="X406" s="2093"/>
      <c r="Y406" s="2093"/>
      <c r="Z406" s="2093"/>
      <c r="AA406" s="2093"/>
      <c r="AB406" s="2093"/>
      <c r="AC406" s="819"/>
      <c r="AE406" s="819"/>
      <c r="AF406" s="819"/>
      <c r="AG406" s="819"/>
      <c r="AH406" s="819"/>
      <c r="AI406" s="819"/>
      <c r="AJ406" s="819"/>
      <c r="AK406" s="819"/>
      <c r="AL406" s="819"/>
      <c r="AM406" s="819"/>
      <c r="AN406" s="819"/>
      <c r="AO406" s="819"/>
      <c r="AP406" s="819"/>
      <c r="AQ406" s="819"/>
      <c r="AR406" s="819"/>
      <c r="AS406" s="819"/>
      <c r="AT406" s="819"/>
      <c r="AU406" s="819"/>
      <c r="AV406" s="819"/>
      <c r="AW406" s="819"/>
      <c r="AX406" s="819"/>
      <c r="AY406" s="819"/>
      <c r="AZ406" s="819"/>
      <c r="BA406" s="819"/>
    </row>
    <row r="407" spans="1:54" ht="14.1" customHeight="1">
      <c r="A407" s="819"/>
      <c r="B407" s="819"/>
      <c r="C407" s="819"/>
      <c r="D407" s="2093"/>
      <c r="E407" s="2093"/>
      <c r="F407" s="2093"/>
      <c r="G407" s="2093"/>
      <c r="H407" s="2093"/>
      <c r="I407" s="2093"/>
      <c r="J407" s="2093"/>
      <c r="K407" s="2093"/>
      <c r="L407" s="2093"/>
      <c r="M407" s="2093"/>
      <c r="N407" s="2093"/>
      <c r="O407" s="2093"/>
      <c r="P407" s="2093"/>
      <c r="Q407" s="2093"/>
      <c r="R407" s="2093"/>
      <c r="S407" s="2093"/>
      <c r="T407" s="2093"/>
      <c r="U407" s="2093"/>
      <c r="V407" s="2093"/>
      <c r="W407" s="2093"/>
      <c r="X407" s="2093"/>
      <c r="Y407" s="2093"/>
      <c r="Z407" s="2093"/>
      <c r="AA407" s="2093"/>
      <c r="AB407" s="2093"/>
      <c r="AC407" s="819"/>
      <c r="AE407" s="819"/>
      <c r="AF407" s="819"/>
      <c r="AG407" s="819"/>
      <c r="AH407" s="819"/>
      <c r="AI407" s="819"/>
      <c r="AJ407" s="819"/>
      <c r="AK407" s="819"/>
      <c r="AL407" s="819"/>
      <c r="AM407" s="819"/>
      <c r="AN407" s="819"/>
      <c r="AO407" s="819"/>
      <c r="AP407" s="819"/>
      <c r="AQ407" s="819"/>
      <c r="AR407" s="819"/>
      <c r="AS407" s="819"/>
      <c r="AT407" s="819"/>
      <c r="AU407" s="819"/>
      <c r="AV407" s="819"/>
      <c r="AW407" s="819"/>
      <c r="AX407" s="819"/>
      <c r="AY407" s="819"/>
      <c r="AZ407" s="819"/>
      <c r="BA407" s="819"/>
    </row>
    <row r="408" spans="1:54" ht="14.1" customHeight="1" thickBot="1">
      <c r="B408" s="1323"/>
      <c r="C408" s="1323"/>
      <c r="D408" s="1331"/>
      <c r="E408" s="1331"/>
      <c r="F408" s="1331"/>
      <c r="G408" s="1331"/>
      <c r="H408" s="1331"/>
      <c r="I408" s="1331"/>
      <c r="J408" s="1331"/>
      <c r="K408" s="1331"/>
      <c r="L408" s="1331"/>
      <c r="M408" s="1331"/>
      <c r="N408" s="1331"/>
      <c r="O408" s="1331"/>
      <c r="P408" s="1331"/>
      <c r="Q408" s="1331"/>
      <c r="R408" s="1331"/>
      <c r="S408" s="1331"/>
      <c r="T408" s="1331"/>
      <c r="U408" s="1331"/>
      <c r="V408" s="1331"/>
      <c r="W408" s="1331"/>
      <c r="X408" s="1331"/>
      <c r="Y408" s="1331"/>
      <c r="Z408" s="1331"/>
      <c r="AA408" s="1331"/>
      <c r="AB408" s="1331"/>
      <c r="AC408" s="819"/>
      <c r="AE408" s="819"/>
      <c r="AF408" s="819"/>
      <c r="AG408" s="819"/>
      <c r="AH408" s="819"/>
      <c r="AI408" s="819"/>
      <c r="AJ408" s="819"/>
      <c r="AK408" s="819"/>
      <c r="AL408" s="819"/>
      <c r="AM408" s="819"/>
      <c r="AN408" s="819"/>
      <c r="AO408" s="819"/>
      <c r="AP408" s="819"/>
      <c r="AQ408" s="819"/>
      <c r="AR408" s="819"/>
      <c r="AS408" s="819"/>
      <c r="AT408" s="819"/>
      <c r="AU408" s="819"/>
      <c r="AV408" s="819"/>
      <c r="AW408" s="819"/>
      <c r="AX408" s="819"/>
      <c r="AY408" s="819"/>
      <c r="AZ408" s="819"/>
      <c r="BA408" s="819"/>
    </row>
    <row r="409" spans="1:54" ht="14.1" customHeight="1" thickTop="1">
      <c r="B409" s="819"/>
      <c r="C409" s="819"/>
      <c r="D409" s="1338"/>
      <c r="E409" s="1338"/>
      <c r="F409" s="1338"/>
      <c r="G409" s="1338"/>
      <c r="H409" s="1338"/>
      <c r="I409" s="1338"/>
      <c r="J409" s="1338"/>
      <c r="K409" s="1338"/>
      <c r="L409" s="1338"/>
      <c r="M409" s="1338"/>
      <c r="N409" s="1338"/>
      <c r="O409" s="1338"/>
      <c r="P409" s="1338"/>
      <c r="Q409" s="1338"/>
      <c r="R409" s="1338"/>
      <c r="S409" s="1338"/>
      <c r="T409" s="1338"/>
      <c r="U409" s="1338"/>
      <c r="V409" s="1338"/>
      <c r="W409" s="1338"/>
      <c r="X409" s="1338"/>
      <c r="Y409" s="1338"/>
      <c r="Z409" s="1338"/>
      <c r="AA409" s="1338"/>
      <c r="AB409" s="1338"/>
      <c r="AC409" s="819"/>
      <c r="AE409" s="819"/>
      <c r="AF409" s="819"/>
      <c r="AG409" s="819"/>
      <c r="AH409" s="819"/>
      <c r="AI409" s="819"/>
      <c r="AJ409" s="819"/>
      <c r="AK409" s="819"/>
      <c r="AL409" s="819"/>
      <c r="AM409" s="819"/>
      <c r="AN409" s="819"/>
      <c r="AO409" s="819"/>
      <c r="AP409" s="819"/>
      <c r="AQ409" s="819"/>
      <c r="AR409" s="819"/>
      <c r="AS409" s="819"/>
      <c r="AT409" s="819"/>
      <c r="AU409" s="819"/>
      <c r="AV409" s="819"/>
      <c r="AW409" s="819"/>
      <c r="AX409" s="819"/>
      <c r="AY409" s="819"/>
      <c r="AZ409" s="819"/>
      <c r="BA409" s="819"/>
    </row>
    <row r="410" spans="1:54" ht="14.1" customHeight="1">
      <c r="B410" s="819"/>
      <c r="C410" s="819"/>
      <c r="D410" s="1338"/>
      <c r="E410" s="1338"/>
      <c r="F410" s="1338"/>
      <c r="G410" s="1338"/>
      <c r="H410" s="1338"/>
      <c r="I410" s="1338"/>
      <c r="J410" s="1338"/>
      <c r="K410" s="1338"/>
      <c r="L410" s="1338"/>
      <c r="M410" s="1338"/>
      <c r="N410" s="1338"/>
      <c r="O410" s="1338"/>
      <c r="P410" s="1338"/>
      <c r="Q410" s="1338"/>
      <c r="R410" s="1338"/>
      <c r="S410" s="1338"/>
      <c r="T410" s="1338"/>
      <c r="U410" s="1338"/>
      <c r="V410" s="1338"/>
      <c r="W410" s="1338"/>
      <c r="X410" s="1338"/>
      <c r="Y410" s="1338"/>
      <c r="Z410" s="1338"/>
      <c r="AA410" s="1338"/>
      <c r="AB410" s="1338"/>
      <c r="AC410" s="819"/>
      <c r="AE410" s="819"/>
      <c r="AF410" s="819"/>
      <c r="AG410" s="819"/>
      <c r="AH410" s="819"/>
      <c r="AI410" s="819"/>
      <c r="AJ410" s="819"/>
      <c r="AK410" s="819"/>
      <c r="AL410" s="819"/>
      <c r="AM410" s="819"/>
      <c r="AN410" s="819"/>
      <c r="AO410" s="819"/>
      <c r="AP410" s="819"/>
      <c r="AQ410" s="819"/>
      <c r="AR410" s="819"/>
      <c r="AS410" s="819"/>
      <c r="AT410" s="819"/>
      <c r="AU410" s="819"/>
      <c r="AV410" s="819"/>
      <c r="AW410" s="819"/>
      <c r="AX410" s="819"/>
      <c r="AY410" s="819"/>
      <c r="AZ410" s="819"/>
      <c r="BA410" s="819"/>
    </row>
    <row r="411" spans="1:54" ht="14.1" customHeight="1" thickBot="1">
      <c r="B411" s="819"/>
      <c r="C411" s="548"/>
      <c r="D411" s="1338"/>
      <c r="E411" s="1338"/>
      <c r="F411" s="1338"/>
      <c r="G411" s="1338"/>
      <c r="H411" s="1338"/>
      <c r="I411" s="1338"/>
      <c r="J411" s="1338"/>
      <c r="K411" s="1338"/>
      <c r="L411" s="1338"/>
      <c r="M411" s="1338"/>
      <c r="N411" s="1338"/>
      <c r="O411" s="1338"/>
      <c r="P411" s="1338"/>
      <c r="Q411" s="1338"/>
      <c r="R411" s="552"/>
      <c r="S411" s="1338"/>
      <c r="T411" s="1338"/>
      <c r="U411" s="1338"/>
      <c r="V411" s="1338"/>
      <c r="W411" s="1338"/>
      <c r="X411" s="1338"/>
      <c r="Y411" s="1338"/>
      <c r="Z411" s="1338"/>
      <c r="AA411" s="1338"/>
      <c r="AB411" s="1338"/>
      <c r="AC411" s="819"/>
      <c r="AE411" s="819"/>
      <c r="AF411" s="819"/>
      <c r="AG411" s="819"/>
      <c r="AH411" s="819"/>
      <c r="AI411" s="819"/>
      <c r="AJ411" s="819"/>
      <c r="AK411" s="819"/>
      <c r="AL411" s="819"/>
      <c r="AM411" s="819"/>
      <c r="AN411" s="819"/>
      <c r="AO411" s="819"/>
      <c r="AP411" s="819"/>
      <c r="AQ411" s="819"/>
      <c r="AR411" s="819"/>
      <c r="AS411" s="819"/>
      <c r="AT411" s="819"/>
      <c r="AU411" s="819"/>
      <c r="AV411" s="819"/>
      <c r="AW411" s="819"/>
      <c r="AX411" s="819"/>
      <c r="AY411" s="819"/>
      <c r="AZ411" s="819"/>
      <c r="BA411" s="819"/>
    </row>
    <row r="412" spans="1:54" ht="14.1" customHeight="1" thickTop="1" thickBot="1">
      <c r="B412" s="819"/>
      <c r="C412" s="552"/>
      <c r="D412" s="1408"/>
      <c r="E412" s="2009" t="s">
        <v>1483</v>
      </c>
      <c r="F412" s="1408"/>
      <c r="G412" s="1332"/>
      <c r="H412" s="1332"/>
      <c r="I412" s="1408"/>
      <c r="J412" s="2009" t="s">
        <v>1512</v>
      </c>
      <c r="K412" s="1408"/>
      <c r="L412" s="1332"/>
      <c r="M412" s="1408"/>
      <c r="N412" s="1332"/>
      <c r="O412" s="2009" t="s">
        <v>512</v>
      </c>
      <c r="P412" s="573"/>
      <c r="Q412" s="568"/>
      <c r="R412" s="1338"/>
      <c r="S412" s="1338"/>
      <c r="T412" s="1338"/>
      <c r="U412" s="1338"/>
      <c r="V412" s="1338"/>
      <c r="W412" s="1338"/>
      <c r="X412" s="1338"/>
      <c r="Y412" s="1338"/>
      <c r="Z412" s="1338"/>
      <c r="AA412" s="1338"/>
      <c r="AB412" s="1338"/>
      <c r="AC412" s="819"/>
      <c r="AE412" s="819"/>
      <c r="AF412" s="819"/>
      <c r="AG412" s="819"/>
      <c r="AH412" s="819"/>
      <c r="AI412" s="819"/>
      <c r="AJ412" s="819"/>
      <c r="AK412" s="819"/>
      <c r="AL412" s="819"/>
      <c r="AM412" s="819"/>
      <c r="AN412" s="819"/>
      <c r="AO412" s="819"/>
      <c r="AP412" s="819"/>
      <c r="AQ412" s="819"/>
      <c r="AR412" s="819"/>
      <c r="AS412" s="819"/>
      <c r="AT412" s="819"/>
      <c r="AU412" s="819"/>
      <c r="AV412" s="819"/>
      <c r="AW412" s="819"/>
      <c r="AX412" s="819"/>
      <c r="AY412" s="819"/>
      <c r="AZ412" s="819"/>
      <c r="BA412" s="819"/>
    </row>
    <row r="413" spans="1:54" ht="14.1" customHeight="1" thickTop="1" thickBot="1">
      <c r="B413" s="819"/>
      <c r="C413" s="558"/>
      <c r="D413" s="559"/>
      <c r="E413" s="2010"/>
      <c r="G413" s="554"/>
      <c r="J413" s="2010"/>
      <c r="L413" s="554"/>
      <c r="M413" s="1403"/>
      <c r="O413" s="2010"/>
      <c r="P413" s="574"/>
      <c r="Q413" s="553"/>
      <c r="R413" s="1338"/>
      <c r="S413" s="1338"/>
      <c r="T413" s="1338"/>
      <c r="U413" s="1338"/>
      <c r="V413" s="1338"/>
      <c r="W413" s="1338"/>
      <c r="X413" s="1338"/>
      <c r="Y413" s="1338"/>
      <c r="Z413" s="1338"/>
      <c r="AA413" s="1338"/>
      <c r="AB413" s="1338"/>
      <c r="AC413" s="819"/>
      <c r="AE413" s="819"/>
      <c r="AF413" s="819"/>
      <c r="AG413" s="819"/>
      <c r="AH413" s="819"/>
      <c r="AI413" s="819"/>
      <c r="AJ413" s="819"/>
      <c r="AK413" s="819"/>
      <c r="AL413" s="819"/>
      <c r="AM413" s="819"/>
      <c r="AN413" s="819"/>
      <c r="AO413" s="819"/>
      <c r="AP413" s="819"/>
      <c r="AQ413" s="819"/>
      <c r="AR413" s="819"/>
      <c r="AS413" s="819"/>
      <c r="AT413" s="819"/>
      <c r="AU413" s="819"/>
      <c r="AV413" s="819"/>
      <c r="AW413" s="819"/>
      <c r="AX413" s="819"/>
      <c r="AY413" s="819"/>
      <c r="AZ413" s="819"/>
      <c r="BA413" s="819"/>
    </row>
    <row r="414" spans="1:54" ht="14.1" customHeight="1" thickTop="1">
      <c r="B414" s="819"/>
      <c r="C414" s="548"/>
      <c r="D414" s="1338"/>
      <c r="E414" s="1338"/>
      <c r="F414" s="1338"/>
      <c r="G414" s="554"/>
      <c r="H414" s="1338"/>
      <c r="I414" s="1338"/>
      <c r="J414" s="1338"/>
      <c r="K414" s="1338"/>
      <c r="L414" s="554"/>
      <c r="M414" s="1338"/>
      <c r="N414" s="1338"/>
      <c r="O414" s="1338"/>
      <c r="P414" s="1338"/>
      <c r="R414" s="552"/>
      <c r="S414" s="1338"/>
      <c r="T414" s="1338"/>
      <c r="U414" s="1338"/>
      <c r="V414" s="1338"/>
      <c r="W414" s="1338"/>
      <c r="X414" s="1338"/>
      <c r="Y414" s="1338"/>
      <c r="Z414" s="1338"/>
      <c r="AA414" s="1338"/>
      <c r="AB414" s="1338"/>
      <c r="AC414" s="819"/>
      <c r="AE414" s="819"/>
      <c r="AF414" s="819"/>
      <c r="AG414" s="819"/>
      <c r="AH414" s="819"/>
      <c r="AI414" s="819"/>
      <c r="AJ414" s="819"/>
      <c r="AK414" s="819"/>
      <c r="AL414" s="819"/>
      <c r="AM414" s="819"/>
      <c r="AN414" s="819"/>
      <c r="AO414" s="819"/>
      <c r="AP414" s="819"/>
      <c r="AQ414" s="819"/>
      <c r="AR414" s="819"/>
      <c r="AS414" s="819"/>
      <c r="AT414" s="819"/>
      <c r="AU414" s="819"/>
      <c r="AV414" s="819"/>
      <c r="AW414" s="819"/>
      <c r="AX414" s="819"/>
      <c r="AY414" s="819"/>
      <c r="AZ414" s="819"/>
      <c r="BA414" s="819"/>
    </row>
    <row r="415" spans="1:54" ht="14.1" customHeight="1">
      <c r="B415" s="819"/>
      <c r="C415" s="552"/>
      <c r="D415" s="1338"/>
      <c r="E415" s="1338"/>
      <c r="F415" s="1338"/>
      <c r="G415" s="554"/>
      <c r="H415" s="1338"/>
      <c r="I415" s="1338"/>
      <c r="J415" s="1338"/>
      <c r="K415" s="1338"/>
      <c r="L415" s="554"/>
      <c r="M415" s="1338"/>
      <c r="N415" s="1338"/>
      <c r="O415" s="1338"/>
      <c r="P415" s="1338"/>
      <c r="R415" s="552"/>
      <c r="S415" s="1338"/>
      <c r="T415" s="1338"/>
      <c r="U415" s="1338"/>
      <c r="V415" s="1338"/>
      <c r="W415" s="1338"/>
      <c r="X415" s="1338"/>
      <c r="Y415" s="1338"/>
      <c r="Z415" s="1338"/>
      <c r="AA415" s="1338"/>
      <c r="AB415" s="1338"/>
      <c r="AC415" s="819"/>
      <c r="AE415" s="819"/>
      <c r="AF415" s="819"/>
      <c r="AG415" s="819"/>
      <c r="AH415" s="819"/>
      <c r="AI415" s="819"/>
      <c r="AJ415" s="819"/>
      <c r="AK415" s="819"/>
      <c r="AL415" s="819"/>
      <c r="AM415" s="819"/>
      <c r="AN415" s="819"/>
      <c r="AO415" s="819"/>
      <c r="AP415" s="819"/>
      <c r="AQ415" s="819"/>
      <c r="AR415" s="819"/>
      <c r="AS415" s="819"/>
      <c r="AT415" s="819"/>
      <c r="AU415" s="819"/>
      <c r="AV415" s="819"/>
      <c r="AW415" s="819"/>
      <c r="AX415" s="819"/>
      <c r="AY415" s="819"/>
      <c r="AZ415" s="819"/>
      <c r="BA415" s="819"/>
    </row>
    <row r="416" spans="1:54" ht="14.1" customHeight="1">
      <c r="C416" s="552"/>
      <c r="G416" s="2012" t="s">
        <v>1513</v>
      </c>
      <c r="H416" s="2012"/>
      <c r="L416" s="2012" t="s">
        <v>1484</v>
      </c>
      <c r="M416" s="2012"/>
      <c r="R416" s="552"/>
      <c r="AC416" s="819"/>
      <c r="AE416" s="819"/>
      <c r="AF416" s="819"/>
      <c r="AG416" s="819"/>
      <c r="AH416" s="819"/>
      <c r="AI416" s="819"/>
      <c r="AJ416" s="819"/>
      <c r="AK416" s="819"/>
      <c r="AL416" s="819"/>
      <c r="AM416" s="819"/>
      <c r="AN416" s="819"/>
      <c r="AO416" s="819"/>
      <c r="AP416" s="819"/>
      <c r="AQ416" s="819"/>
      <c r="AR416" s="819"/>
      <c r="AS416" s="819"/>
      <c r="AT416" s="819"/>
      <c r="AU416" s="819"/>
      <c r="AV416" s="819"/>
      <c r="AW416" s="819"/>
      <c r="AX416" s="819"/>
      <c r="AY416" s="819"/>
      <c r="AZ416" s="819"/>
      <c r="BB416" s="819"/>
    </row>
    <row r="417" spans="1:57" ht="13.8" thickBot="1">
      <c r="A417" s="1403"/>
      <c r="B417" s="1403"/>
      <c r="C417" s="548"/>
      <c r="D417" s="1403"/>
      <c r="E417" s="1403"/>
      <c r="R417" s="552"/>
      <c r="Z417" s="819"/>
      <c r="AA417" s="819"/>
      <c r="AB417" s="819"/>
    </row>
    <row r="418" spans="1:57" ht="14.1" customHeight="1" thickTop="1" thickBot="1">
      <c r="A418" s="1403"/>
      <c r="B418" s="1403"/>
      <c r="C418" s="549"/>
      <c r="D418" s="1408"/>
      <c r="E418" s="2009" t="s">
        <v>1478</v>
      </c>
      <c r="F418" s="1408"/>
      <c r="G418" s="1332"/>
      <c r="H418" s="1332"/>
      <c r="I418" s="1408"/>
      <c r="J418" s="2009" t="s">
        <v>1479</v>
      </c>
      <c r="K418" s="1408"/>
      <c r="L418" s="1332"/>
      <c r="M418" s="1408"/>
      <c r="N418" s="1332"/>
      <c r="O418" s="2009" t="s">
        <v>1481</v>
      </c>
      <c r="P418" s="573"/>
      <c r="Q418" s="568"/>
      <c r="R418" s="1337"/>
      <c r="S418" s="819"/>
      <c r="T418" s="2008"/>
      <c r="U418" s="2008"/>
      <c r="V418" s="533"/>
      <c r="X418" s="819"/>
      <c r="Y418" s="819"/>
      <c r="Z418" s="819"/>
      <c r="AA418" s="819"/>
      <c r="AB418" s="819"/>
      <c r="AC418" s="819"/>
      <c r="AD418" s="609"/>
      <c r="AE418" s="819"/>
      <c r="AF418" s="819"/>
      <c r="AG418" s="819"/>
      <c r="AH418" s="819"/>
      <c r="AI418" s="819"/>
      <c r="AJ418" s="819"/>
      <c r="AK418" s="819"/>
      <c r="AL418" s="819"/>
      <c r="AM418" s="819"/>
      <c r="AN418" s="819"/>
      <c r="AO418" s="819"/>
      <c r="AP418" s="819"/>
      <c r="AQ418" s="819"/>
      <c r="AR418" s="819"/>
      <c r="AS418" s="819"/>
      <c r="AT418" s="819"/>
      <c r="AU418" s="819"/>
      <c r="AV418" s="819"/>
      <c r="AW418" s="819"/>
      <c r="AX418" s="819"/>
      <c r="AY418" s="819"/>
      <c r="AZ418" s="819"/>
      <c r="BA418" s="819"/>
      <c r="BB418" s="819"/>
      <c r="BC418" s="819"/>
      <c r="BD418" s="819"/>
    </row>
    <row r="419" spans="1:57" ht="12.75" customHeight="1" thickTop="1" thickBot="1">
      <c r="A419" s="1403"/>
      <c r="B419" s="1403"/>
      <c r="C419" s="558"/>
      <c r="D419" s="559"/>
      <c r="E419" s="2010"/>
      <c r="G419" s="554"/>
      <c r="J419" s="2010"/>
      <c r="L419" s="554"/>
      <c r="M419" s="1403"/>
      <c r="O419" s="2010"/>
      <c r="P419" s="574"/>
      <c r="Q419" s="553"/>
      <c r="R419" s="552"/>
      <c r="X419" s="819"/>
      <c r="Y419" s="819"/>
      <c r="Z419" s="819"/>
      <c r="AA419" s="819"/>
      <c r="AB419" s="819"/>
      <c r="AC419" s="819"/>
      <c r="AE419" s="819"/>
      <c r="AF419" s="819"/>
      <c r="AG419" s="819"/>
      <c r="AH419" s="819"/>
      <c r="AI419" s="819"/>
      <c r="AJ419" s="819"/>
      <c r="AK419" s="819"/>
      <c r="AL419" s="819"/>
      <c r="AM419" s="819"/>
      <c r="AN419" s="819"/>
      <c r="AO419" s="819"/>
      <c r="AP419" s="819"/>
      <c r="AQ419" s="819"/>
      <c r="AR419" s="819"/>
      <c r="AS419" s="819"/>
      <c r="AT419" s="819"/>
      <c r="AU419" s="819"/>
      <c r="AV419" s="819"/>
      <c r="AW419" s="819"/>
      <c r="AX419" s="819"/>
      <c r="AY419" s="819"/>
      <c r="AZ419" s="819"/>
      <c r="BA419" s="819"/>
      <c r="BB419" s="819"/>
      <c r="BD419" s="819"/>
      <c r="BE419" s="819"/>
    </row>
    <row r="420" spans="1:57" ht="12.75" customHeight="1" thickTop="1">
      <c r="A420" s="1403"/>
      <c r="B420" s="1403"/>
      <c r="C420" s="548"/>
      <c r="D420" s="1403"/>
      <c r="E420" s="1403"/>
      <c r="G420" s="554"/>
      <c r="L420" s="554"/>
      <c r="N420" s="819"/>
      <c r="Q420" s="1403"/>
      <c r="R420" s="548"/>
      <c r="Y420" s="819"/>
      <c r="Z420" s="819"/>
      <c r="AA420" s="819"/>
      <c r="AB420" s="819"/>
      <c r="AC420" s="819"/>
      <c r="AE420" s="819"/>
      <c r="AF420" s="819"/>
      <c r="AG420" s="819"/>
      <c r="AH420" s="819"/>
      <c r="AI420" s="819"/>
      <c r="AJ420" s="819"/>
      <c r="AK420" s="819"/>
      <c r="AL420" s="819"/>
      <c r="AM420" s="819"/>
      <c r="AN420" s="819"/>
      <c r="AO420" s="819"/>
      <c r="AP420" s="819"/>
      <c r="AQ420" s="819"/>
      <c r="AR420" s="819"/>
      <c r="AS420" s="819"/>
      <c r="AT420" s="819"/>
      <c r="AU420" s="819"/>
      <c r="AV420" s="819"/>
      <c r="AW420" s="819"/>
      <c r="AX420" s="819"/>
      <c r="AY420" s="819"/>
      <c r="AZ420" s="819"/>
      <c r="BA420" s="819"/>
      <c r="BB420" s="819"/>
      <c r="BD420" s="819"/>
      <c r="BE420" s="819"/>
    </row>
    <row r="421" spans="1:57" ht="14.1" customHeight="1">
      <c r="C421" s="552"/>
      <c r="G421" s="567"/>
      <c r="H421" s="533"/>
      <c r="L421" s="567"/>
      <c r="M421" s="533"/>
      <c r="N421" s="819"/>
      <c r="R421" s="552"/>
      <c r="AC421" s="819"/>
      <c r="AD421" s="609"/>
      <c r="AE421" s="819"/>
      <c r="AF421" s="819"/>
      <c r="AG421" s="819"/>
      <c r="AH421" s="819"/>
      <c r="AI421" s="819"/>
      <c r="AJ421" s="819"/>
      <c r="AK421" s="819"/>
      <c r="AL421" s="819"/>
      <c r="AM421" s="819"/>
      <c r="AN421" s="819"/>
      <c r="AO421" s="819"/>
      <c r="AP421" s="819"/>
      <c r="AQ421" s="819"/>
      <c r="AR421" s="819"/>
      <c r="AS421" s="819"/>
      <c r="AT421" s="819"/>
      <c r="AU421" s="819"/>
      <c r="AV421" s="819"/>
      <c r="AW421" s="819"/>
      <c r="AX421" s="819"/>
      <c r="AY421" s="819"/>
      <c r="AZ421" s="819"/>
      <c r="BA421" s="819"/>
      <c r="BB421" s="819"/>
      <c r="BC421" s="819"/>
      <c r="BD421" s="819"/>
    </row>
    <row r="422" spans="1:57">
      <c r="C422" s="552"/>
      <c r="G422" s="2012" t="s">
        <v>338</v>
      </c>
      <c r="H422" s="2012"/>
      <c r="L422" s="2012" t="s">
        <v>1480</v>
      </c>
      <c r="M422" s="2012"/>
      <c r="N422" s="819"/>
      <c r="R422" s="552"/>
    </row>
    <row r="423" spans="1:57" ht="13.8" thickBot="1">
      <c r="A423" s="1403"/>
      <c r="B423" s="1403"/>
      <c r="C423" s="548"/>
      <c r="D423" s="1403"/>
      <c r="E423" s="1403"/>
      <c r="R423" s="552"/>
      <c r="Z423" s="819"/>
      <c r="AA423" s="819"/>
      <c r="AB423" s="819"/>
    </row>
    <row r="424" spans="1:57" ht="14.1" customHeight="1" thickTop="1" thickBot="1">
      <c r="A424" s="1403"/>
      <c r="B424" s="1403"/>
      <c r="C424" s="549"/>
      <c r="D424" s="1408"/>
      <c r="E424" s="2007" t="s">
        <v>69</v>
      </c>
      <c r="F424" s="1408"/>
      <c r="G424" s="1332"/>
      <c r="H424" s="1332"/>
      <c r="I424" s="1408"/>
      <c r="J424" s="2005" t="s">
        <v>1473</v>
      </c>
      <c r="K424" s="1408"/>
      <c r="L424" s="1332"/>
      <c r="M424" s="1408"/>
      <c r="N424" s="1332"/>
      <c r="O424" s="2007" t="s">
        <v>1475</v>
      </c>
      <c r="P424" s="575"/>
      <c r="Q424" s="568"/>
      <c r="R424" s="1337"/>
      <c r="S424" s="819"/>
      <c r="T424" s="2008"/>
      <c r="U424" s="2008"/>
      <c r="V424" s="533"/>
      <c r="X424" s="819"/>
      <c r="Y424" s="819"/>
      <c r="Z424" s="819"/>
      <c r="AA424" s="819"/>
      <c r="AB424" s="819"/>
      <c r="AC424" s="819"/>
      <c r="AD424" s="609"/>
      <c r="AE424" s="819"/>
      <c r="AF424" s="819"/>
      <c r="AG424" s="819"/>
      <c r="AH424" s="819"/>
      <c r="AI424" s="819"/>
      <c r="AJ424" s="819"/>
      <c r="AK424" s="819"/>
      <c r="AL424" s="819"/>
      <c r="AM424" s="819"/>
      <c r="AN424" s="819"/>
      <c r="AO424" s="819"/>
      <c r="AP424" s="819"/>
      <c r="AQ424" s="819"/>
      <c r="AR424" s="819"/>
      <c r="AS424" s="819"/>
      <c r="AT424" s="819"/>
      <c r="AU424" s="819"/>
      <c r="AV424" s="819"/>
      <c r="AW424" s="819"/>
      <c r="AX424" s="819"/>
      <c r="AY424" s="819"/>
      <c r="AZ424" s="819"/>
      <c r="BA424" s="819"/>
      <c r="BB424" s="819"/>
      <c r="BC424" s="819"/>
      <c r="BD424" s="819"/>
    </row>
    <row r="425" spans="1:57" ht="12.75" customHeight="1" thickTop="1" thickBot="1">
      <c r="A425" s="1403"/>
      <c r="B425" s="1403"/>
      <c r="C425" s="558"/>
      <c r="D425" s="559"/>
      <c r="E425" s="2007"/>
      <c r="G425" s="554"/>
      <c r="J425" s="2006"/>
      <c r="L425" s="554"/>
      <c r="M425" s="1403"/>
      <c r="O425" s="2007"/>
      <c r="P425" s="576"/>
      <c r="Q425" s="553"/>
      <c r="R425" s="552"/>
      <c r="X425" s="819"/>
      <c r="Y425" s="819"/>
      <c r="Z425" s="819"/>
      <c r="AA425" s="819"/>
      <c r="AB425" s="819"/>
      <c r="AC425" s="819"/>
      <c r="AE425" s="819"/>
      <c r="AF425" s="819"/>
      <c r="AG425" s="819"/>
      <c r="AH425" s="819"/>
      <c r="AI425" s="819"/>
      <c r="AJ425" s="819"/>
      <c r="AK425" s="819"/>
      <c r="AL425" s="819"/>
      <c r="AM425" s="819"/>
      <c r="AN425" s="819"/>
      <c r="AO425" s="819"/>
      <c r="AP425" s="819"/>
      <c r="AQ425" s="819"/>
      <c r="AR425" s="819"/>
      <c r="AS425" s="819"/>
      <c r="AT425" s="819"/>
      <c r="AU425" s="819"/>
      <c r="AV425" s="819"/>
      <c r="AW425" s="819"/>
      <c r="AX425" s="819"/>
      <c r="AY425" s="819"/>
      <c r="AZ425" s="819"/>
      <c r="BA425" s="819"/>
      <c r="BB425" s="819"/>
      <c r="BD425" s="819"/>
      <c r="BE425" s="819"/>
    </row>
    <row r="426" spans="1:57" ht="12.75" customHeight="1">
      <c r="A426" s="1403"/>
      <c r="B426" s="1403"/>
      <c r="C426" s="548"/>
      <c r="D426" s="1403"/>
      <c r="E426" s="1403"/>
      <c r="G426" s="554"/>
      <c r="L426" s="554"/>
      <c r="N426" s="819"/>
      <c r="Q426" s="1403"/>
      <c r="R426" s="548"/>
      <c r="Y426" s="819"/>
      <c r="Z426" s="819"/>
      <c r="AA426" s="819"/>
      <c r="AB426" s="819"/>
      <c r="AC426" s="819"/>
      <c r="AE426" s="819"/>
      <c r="AF426" s="819"/>
      <c r="AG426" s="819"/>
      <c r="AH426" s="819"/>
      <c r="AI426" s="819"/>
      <c r="AJ426" s="819"/>
      <c r="AK426" s="819"/>
      <c r="AL426" s="819"/>
      <c r="AM426" s="819"/>
      <c r="AN426" s="819"/>
      <c r="AO426" s="819"/>
      <c r="AP426" s="819"/>
      <c r="AQ426" s="819"/>
      <c r="AR426" s="819"/>
      <c r="AS426" s="819"/>
      <c r="AT426" s="819"/>
      <c r="AU426" s="819"/>
      <c r="AV426" s="819"/>
      <c r="AW426" s="819"/>
      <c r="AX426" s="819"/>
      <c r="AY426" s="819"/>
      <c r="AZ426" s="819"/>
      <c r="BA426" s="819"/>
      <c r="BB426" s="819"/>
      <c r="BD426" s="819"/>
      <c r="BE426" s="819"/>
    </row>
    <row r="427" spans="1:57" ht="14.1" customHeight="1">
      <c r="B427" s="2011"/>
      <c r="C427" s="2011"/>
      <c r="G427" s="567"/>
      <c r="H427" s="533"/>
      <c r="L427" s="567"/>
      <c r="M427" s="533"/>
      <c r="N427" s="819"/>
      <c r="AC427" s="819"/>
      <c r="AD427" s="609"/>
      <c r="AE427" s="819"/>
      <c r="AF427" s="819"/>
      <c r="AG427" s="819"/>
      <c r="AH427" s="819"/>
      <c r="AI427" s="819"/>
      <c r="AJ427" s="819"/>
      <c r="AK427" s="819"/>
      <c r="AL427" s="819"/>
      <c r="AM427" s="819"/>
      <c r="AN427" s="819"/>
      <c r="AO427" s="819"/>
      <c r="AP427" s="819"/>
      <c r="AQ427" s="819"/>
      <c r="AR427" s="819"/>
      <c r="AS427" s="819"/>
      <c r="AT427" s="819"/>
      <c r="AU427" s="819"/>
      <c r="AV427" s="819"/>
      <c r="AW427" s="819"/>
      <c r="AX427" s="819"/>
      <c r="AY427" s="819"/>
      <c r="AZ427" s="819"/>
      <c r="BA427" s="819"/>
      <c r="BB427" s="819"/>
      <c r="BC427" s="819"/>
      <c r="BD427" s="819"/>
    </row>
    <row r="428" spans="1:57" ht="12.75" customHeight="1">
      <c r="B428" s="2011"/>
      <c r="C428" s="2011"/>
      <c r="G428" s="2011" t="s">
        <v>349</v>
      </c>
      <c r="H428" s="2011"/>
      <c r="L428" s="2012" t="s">
        <v>1520</v>
      </c>
      <c r="M428" s="2012"/>
      <c r="N428" s="819"/>
    </row>
    <row r="429" spans="1:57" ht="12.75" customHeight="1">
      <c r="G429" s="2011"/>
      <c r="H429" s="2011"/>
      <c r="L429" s="764"/>
      <c r="M429" s="764"/>
    </row>
    <row r="430" spans="1:57" ht="12.75" customHeight="1">
      <c r="G430" s="2012" t="s">
        <v>334</v>
      </c>
      <c r="H430" s="2012"/>
      <c r="M430" s="533"/>
    </row>
    <row r="431" spans="1:57" ht="14.1" customHeight="1">
      <c r="A431" s="819"/>
      <c r="B431" s="819"/>
      <c r="C431" s="819"/>
      <c r="D431" s="1406"/>
      <c r="E431" s="1406"/>
      <c r="F431" s="1406"/>
      <c r="G431" s="1406"/>
      <c r="H431" s="1406"/>
      <c r="I431" s="1406"/>
      <c r="J431" s="1406"/>
      <c r="K431" s="1406"/>
      <c r="L431" s="1406"/>
      <c r="M431" s="1406"/>
      <c r="N431" s="1406"/>
      <c r="O431" s="1406"/>
      <c r="P431" s="1406"/>
      <c r="Q431" s="1406"/>
      <c r="R431" s="1406"/>
      <c r="S431" s="1406"/>
      <c r="T431" s="1406"/>
      <c r="U431" s="1406"/>
      <c r="V431" s="1406"/>
      <c r="W431" s="1406"/>
      <c r="X431" s="1406"/>
      <c r="Y431" s="1406"/>
      <c r="Z431" s="1406"/>
      <c r="AA431" s="1406"/>
      <c r="AB431" s="1406"/>
      <c r="AC431" s="819"/>
      <c r="AE431" s="819"/>
      <c r="AF431" s="819"/>
      <c r="AG431" s="819"/>
      <c r="AH431" s="819"/>
      <c r="AI431" s="819"/>
      <c r="AJ431" s="819"/>
      <c r="AK431" s="819"/>
      <c r="AL431" s="819"/>
      <c r="AM431" s="819"/>
      <c r="AN431" s="819"/>
      <c r="AO431" s="819"/>
      <c r="AP431" s="819"/>
      <c r="AQ431" s="819"/>
      <c r="AR431" s="819"/>
      <c r="AS431" s="819"/>
      <c r="AT431" s="819"/>
      <c r="AU431" s="819"/>
      <c r="AV431" s="819"/>
      <c r="AW431" s="819"/>
      <c r="AX431" s="819"/>
      <c r="AY431" s="819"/>
      <c r="AZ431" s="819"/>
      <c r="BA431" s="819"/>
      <c r="BC431" s="819"/>
      <c r="BD431" s="819"/>
      <c r="BE431" s="819"/>
    </row>
    <row r="432" spans="1:57" ht="14.1" customHeight="1">
      <c r="A432" s="819"/>
      <c r="B432" s="819"/>
      <c r="C432" s="819"/>
      <c r="D432" s="1406"/>
      <c r="E432" s="1406"/>
      <c r="F432" s="1406"/>
      <c r="G432" s="1406"/>
      <c r="H432" s="1406"/>
      <c r="I432" s="1406"/>
      <c r="J432" s="1406"/>
      <c r="K432" s="1406"/>
      <c r="L432" s="1406"/>
      <c r="M432" s="1406"/>
      <c r="N432" s="1406"/>
      <c r="O432" s="1406"/>
      <c r="P432" s="1406"/>
      <c r="Q432" s="1406"/>
      <c r="R432" s="1406"/>
      <c r="S432" s="1406"/>
      <c r="T432" s="1406"/>
      <c r="U432" s="1406"/>
      <c r="V432" s="1406"/>
      <c r="W432" s="1406"/>
      <c r="X432" s="1406"/>
      <c r="Y432" s="1406"/>
      <c r="Z432" s="1406"/>
      <c r="AA432" s="1406"/>
      <c r="AB432" s="1406"/>
      <c r="AC432" s="819"/>
      <c r="AE432" s="819"/>
      <c r="AF432" s="819"/>
      <c r="AG432" s="819"/>
      <c r="AH432" s="819"/>
      <c r="AI432" s="819"/>
      <c r="AJ432" s="819"/>
      <c r="AK432" s="819"/>
      <c r="AL432" s="819"/>
      <c r="AM432" s="819"/>
      <c r="AN432" s="819"/>
      <c r="AO432" s="819"/>
      <c r="AP432" s="819"/>
      <c r="AQ432" s="819"/>
      <c r="AR432" s="819"/>
      <c r="AS432" s="819"/>
      <c r="AT432" s="819"/>
      <c r="AU432" s="819"/>
      <c r="AV432" s="819"/>
      <c r="AW432" s="819"/>
      <c r="AX432" s="819"/>
      <c r="AY432" s="819"/>
      <c r="AZ432" s="819"/>
      <c r="BA432" s="819"/>
      <c r="BC432" s="819"/>
      <c r="BD432" s="819"/>
      <c r="BE432" s="819"/>
    </row>
    <row r="433" spans="1:54" ht="14.1" customHeight="1">
      <c r="A433" s="819"/>
      <c r="B433" s="819"/>
      <c r="C433" s="819"/>
      <c r="D433" s="1406"/>
      <c r="E433" s="1406"/>
      <c r="F433" s="1406"/>
      <c r="G433" s="1406"/>
      <c r="H433" s="1406"/>
      <c r="I433" s="1406"/>
      <c r="J433" s="1406"/>
      <c r="K433" s="1406"/>
      <c r="L433" s="1406"/>
      <c r="M433" s="1406"/>
      <c r="N433" s="1406"/>
      <c r="O433" s="1406"/>
      <c r="P433" s="1406"/>
      <c r="Q433" s="1406"/>
      <c r="R433" s="1406"/>
      <c r="S433" s="1406"/>
      <c r="T433" s="1406"/>
      <c r="U433" s="1406"/>
      <c r="V433" s="1406"/>
      <c r="W433" s="1406"/>
      <c r="X433" s="1406"/>
      <c r="Y433" s="1406"/>
      <c r="Z433" s="1406"/>
      <c r="AA433" s="1406"/>
      <c r="AB433" s="1406"/>
      <c r="AC433" s="819"/>
      <c r="AE433" s="819"/>
      <c r="AF433" s="819"/>
      <c r="AG433" s="819"/>
      <c r="AH433" s="819"/>
      <c r="AI433" s="819"/>
      <c r="AJ433" s="819"/>
      <c r="AK433" s="819"/>
      <c r="AL433" s="819"/>
      <c r="AM433" s="819"/>
      <c r="AN433" s="819"/>
      <c r="AO433" s="819"/>
      <c r="AP433" s="819"/>
      <c r="AQ433" s="819"/>
      <c r="AR433" s="819"/>
      <c r="AS433" s="819"/>
      <c r="AT433" s="819"/>
      <c r="AU433" s="819"/>
      <c r="AV433" s="819"/>
      <c r="AW433" s="819"/>
      <c r="AX433" s="819"/>
      <c r="AY433" s="819"/>
      <c r="AZ433" s="819"/>
      <c r="BA433" s="819"/>
    </row>
    <row r="434" spans="1:54" ht="14.1" customHeight="1">
      <c r="A434" s="1403"/>
      <c r="B434" s="1403"/>
      <c r="C434" s="2008" t="s">
        <v>1485</v>
      </c>
      <c r="D434" s="2008"/>
      <c r="U434" s="819"/>
      <c r="V434" s="819"/>
      <c r="W434" s="819"/>
      <c r="X434" s="819"/>
      <c r="Y434" s="819"/>
      <c r="Z434" s="819"/>
      <c r="AA434" s="819"/>
      <c r="AB434" s="819"/>
      <c r="AC434" s="819"/>
      <c r="AE434" s="819"/>
      <c r="AF434" s="819"/>
      <c r="AG434" s="819"/>
      <c r="AH434" s="819"/>
      <c r="AI434" s="819"/>
      <c r="AJ434" s="819"/>
      <c r="AK434" s="819"/>
      <c r="AL434" s="819"/>
      <c r="AM434" s="819"/>
      <c r="AN434" s="819"/>
      <c r="AO434" s="819"/>
      <c r="AP434" s="819"/>
      <c r="AQ434" s="819"/>
      <c r="AR434" s="819"/>
      <c r="AS434" s="819"/>
      <c r="AT434" s="819"/>
      <c r="AU434" s="819"/>
      <c r="AV434" s="819"/>
      <c r="AW434" s="819"/>
      <c r="AX434" s="819"/>
      <c r="AY434" s="819"/>
      <c r="AZ434" s="819"/>
      <c r="BA434" s="819"/>
    </row>
    <row r="435" spans="1:54" ht="14.1" customHeight="1">
      <c r="A435" s="819"/>
      <c r="B435" s="819"/>
      <c r="C435" s="819"/>
      <c r="D435" s="2093" t="s">
        <v>1522</v>
      </c>
      <c r="E435" s="2093"/>
      <c r="F435" s="2093"/>
      <c r="G435" s="2093"/>
      <c r="H435" s="2093"/>
      <c r="I435" s="2093"/>
      <c r="J435" s="2093"/>
      <c r="K435" s="2093"/>
      <c r="L435" s="2093"/>
      <c r="M435" s="2093"/>
      <c r="N435" s="2093"/>
      <c r="O435" s="2093"/>
      <c r="P435" s="2093"/>
      <c r="Q435" s="2093"/>
      <c r="R435" s="2093"/>
      <c r="S435" s="2093"/>
      <c r="T435" s="2093"/>
      <c r="U435" s="2093"/>
      <c r="V435" s="2093"/>
      <c r="W435" s="2093"/>
      <c r="X435" s="2093"/>
      <c r="Y435" s="2093"/>
      <c r="Z435" s="2093"/>
      <c r="AA435" s="2093"/>
      <c r="AB435" s="2093"/>
      <c r="AC435" s="819"/>
      <c r="AE435" s="819"/>
      <c r="AF435" s="819"/>
      <c r="AG435" s="819"/>
      <c r="AH435" s="819"/>
      <c r="AI435" s="819"/>
      <c r="AJ435" s="819"/>
      <c r="AK435" s="819"/>
      <c r="AL435" s="819"/>
      <c r="AM435" s="819"/>
      <c r="AN435" s="819"/>
      <c r="AO435" s="819"/>
      <c r="AP435" s="819"/>
      <c r="AQ435" s="819"/>
      <c r="AR435" s="819"/>
      <c r="AS435" s="819"/>
      <c r="AT435" s="819"/>
      <c r="AU435" s="819"/>
      <c r="AV435" s="819"/>
      <c r="AW435" s="819"/>
      <c r="AX435" s="819"/>
      <c r="AY435" s="819"/>
      <c r="AZ435" s="819"/>
      <c r="BB435" s="819"/>
    </row>
    <row r="436" spans="1:54" ht="14.1" customHeight="1">
      <c r="A436" s="819"/>
      <c r="B436" s="819"/>
      <c r="C436" s="819"/>
      <c r="D436" s="2093"/>
      <c r="E436" s="2093"/>
      <c r="F436" s="2093"/>
      <c r="G436" s="2093"/>
      <c r="H436" s="2093"/>
      <c r="I436" s="2093"/>
      <c r="J436" s="2093"/>
      <c r="K436" s="2093"/>
      <c r="L436" s="2093"/>
      <c r="M436" s="2093"/>
      <c r="N436" s="2093"/>
      <c r="O436" s="2093"/>
      <c r="P436" s="2093"/>
      <c r="Q436" s="2093"/>
      <c r="R436" s="2093"/>
      <c r="S436" s="2093"/>
      <c r="T436" s="2093"/>
      <c r="U436" s="2093"/>
      <c r="V436" s="2093"/>
      <c r="W436" s="2093"/>
      <c r="X436" s="2093"/>
      <c r="Y436" s="2093"/>
      <c r="Z436" s="2093"/>
      <c r="AA436" s="2093"/>
      <c r="AB436" s="2093"/>
      <c r="AC436" s="819"/>
      <c r="AE436" s="819"/>
      <c r="AF436" s="819"/>
      <c r="AG436" s="819"/>
      <c r="AH436" s="819"/>
      <c r="AI436" s="819"/>
      <c r="AJ436" s="819"/>
      <c r="AK436" s="819"/>
      <c r="AL436" s="819"/>
      <c r="AM436" s="819"/>
      <c r="AN436" s="819"/>
      <c r="AO436" s="819"/>
      <c r="AP436" s="819"/>
      <c r="AQ436" s="819"/>
      <c r="AR436" s="819"/>
      <c r="AS436" s="819"/>
      <c r="AT436" s="819"/>
      <c r="AU436" s="819"/>
      <c r="AV436" s="819"/>
      <c r="AW436" s="819"/>
      <c r="AX436" s="819"/>
      <c r="AY436" s="819"/>
      <c r="AZ436" s="819"/>
      <c r="BA436" s="819"/>
    </row>
    <row r="437" spans="1:54" ht="14.1" customHeight="1">
      <c r="A437" s="819"/>
      <c r="B437" s="819"/>
      <c r="C437" s="819"/>
      <c r="D437" s="2093"/>
      <c r="E437" s="2093"/>
      <c r="F437" s="2093"/>
      <c r="G437" s="2093"/>
      <c r="H437" s="2093"/>
      <c r="I437" s="2093"/>
      <c r="J437" s="2093"/>
      <c r="K437" s="2093"/>
      <c r="L437" s="2093"/>
      <c r="M437" s="2093"/>
      <c r="N437" s="2093"/>
      <c r="O437" s="2093"/>
      <c r="P437" s="2093"/>
      <c r="Q437" s="2093"/>
      <c r="R437" s="2093"/>
      <c r="S437" s="2093"/>
      <c r="T437" s="2093"/>
      <c r="U437" s="2093"/>
      <c r="V437" s="2093"/>
      <c r="W437" s="2093"/>
      <c r="X437" s="2093"/>
      <c r="Y437" s="2093"/>
      <c r="Z437" s="2093"/>
      <c r="AA437" s="2093"/>
      <c r="AB437" s="2093"/>
      <c r="AC437" s="819"/>
      <c r="AE437" s="819"/>
      <c r="AF437" s="819"/>
      <c r="AG437" s="819"/>
      <c r="AH437" s="819"/>
      <c r="AI437" s="819"/>
      <c r="AJ437" s="819"/>
      <c r="AK437" s="819"/>
      <c r="AL437" s="819"/>
      <c r="AM437" s="819"/>
      <c r="AN437" s="819"/>
      <c r="AO437" s="819"/>
      <c r="AP437" s="819"/>
      <c r="AQ437" s="819"/>
      <c r="AR437" s="819"/>
      <c r="AS437" s="819"/>
      <c r="AT437" s="819"/>
      <c r="AU437" s="819"/>
      <c r="AV437" s="819"/>
      <c r="AW437" s="819"/>
      <c r="AX437" s="819"/>
      <c r="AY437" s="819"/>
      <c r="AZ437" s="819"/>
      <c r="BA437" s="819"/>
    </row>
    <row r="438" spans="1:54" ht="14.1" customHeight="1">
      <c r="A438" s="819"/>
      <c r="B438" s="819"/>
      <c r="C438" s="819"/>
      <c r="D438" s="2093"/>
      <c r="E438" s="2093"/>
      <c r="F438" s="2093"/>
      <c r="G438" s="2093"/>
      <c r="H438" s="2093"/>
      <c r="I438" s="2093"/>
      <c r="J438" s="2093"/>
      <c r="K438" s="2093"/>
      <c r="L438" s="2093"/>
      <c r="M438" s="2093"/>
      <c r="N438" s="2093"/>
      <c r="O438" s="2093"/>
      <c r="P438" s="2093"/>
      <c r="Q438" s="2093"/>
      <c r="R438" s="2093"/>
      <c r="S438" s="2093"/>
      <c r="T438" s="2093"/>
      <c r="U438" s="2093"/>
      <c r="V438" s="2093"/>
      <c r="W438" s="2093"/>
      <c r="X438" s="2093"/>
      <c r="Y438" s="2093"/>
      <c r="Z438" s="2093"/>
      <c r="AA438" s="2093"/>
      <c r="AB438" s="2093"/>
      <c r="AC438" s="819"/>
      <c r="AE438" s="819"/>
      <c r="AF438" s="819"/>
      <c r="AG438" s="819"/>
      <c r="AH438" s="819"/>
      <c r="AI438" s="819"/>
      <c r="AJ438" s="819"/>
      <c r="AK438" s="819"/>
      <c r="AL438" s="819"/>
      <c r="AM438" s="819"/>
      <c r="AN438" s="819"/>
      <c r="AO438" s="819"/>
      <c r="AP438" s="819"/>
      <c r="AQ438" s="819"/>
      <c r="AR438" s="819"/>
      <c r="AS438" s="819"/>
      <c r="AT438" s="819"/>
      <c r="AU438" s="819"/>
      <c r="AV438" s="819"/>
      <c r="AW438" s="819"/>
      <c r="AX438" s="819"/>
      <c r="AY438" s="819"/>
      <c r="AZ438" s="819"/>
      <c r="BA438" s="819"/>
    </row>
    <row r="439" spans="1:54" ht="14.1" customHeight="1" thickBot="1">
      <c r="B439" s="1323"/>
      <c r="C439" s="1323"/>
      <c r="D439" s="1331"/>
      <c r="E439" s="1331"/>
      <c r="F439" s="1331"/>
      <c r="G439" s="1331"/>
      <c r="H439" s="1331"/>
      <c r="I439" s="1331"/>
      <c r="J439" s="1331"/>
      <c r="K439" s="1331"/>
      <c r="L439" s="1331"/>
      <c r="M439" s="1331"/>
      <c r="N439" s="1331"/>
      <c r="O439" s="1331"/>
      <c r="P439" s="1331"/>
      <c r="Q439" s="1331"/>
      <c r="R439" s="1331"/>
      <c r="S439" s="1331"/>
      <c r="T439" s="1331"/>
      <c r="U439" s="1331"/>
      <c r="V439" s="1331"/>
      <c r="W439" s="1331"/>
      <c r="X439" s="1331"/>
      <c r="Y439" s="1331"/>
      <c r="Z439" s="1331"/>
      <c r="AA439" s="1331"/>
      <c r="AB439" s="1331"/>
      <c r="AC439" s="819"/>
      <c r="AE439" s="819"/>
      <c r="AF439" s="819"/>
      <c r="AG439" s="819"/>
      <c r="AH439" s="819"/>
      <c r="AI439" s="819"/>
      <c r="AJ439" s="819"/>
      <c r="AK439" s="819"/>
      <c r="AL439" s="819"/>
      <c r="AM439" s="819"/>
      <c r="AN439" s="819"/>
      <c r="AO439" s="819"/>
      <c r="AP439" s="819"/>
      <c r="AQ439" s="819"/>
      <c r="AR439" s="819"/>
      <c r="AS439" s="819"/>
      <c r="AT439" s="819"/>
      <c r="AU439" s="819"/>
      <c r="AV439" s="819"/>
      <c r="AW439" s="819"/>
      <c r="AX439" s="819"/>
      <c r="AY439" s="819"/>
      <c r="AZ439" s="819"/>
      <c r="BA439" s="819"/>
    </row>
    <row r="440" spans="1:54" ht="14.1" customHeight="1" thickTop="1">
      <c r="B440" s="819"/>
      <c r="C440" s="819"/>
      <c r="D440" s="819"/>
      <c r="E440" s="819"/>
      <c r="F440" s="819"/>
      <c r="G440" s="819"/>
      <c r="H440" s="819"/>
      <c r="I440" s="819"/>
      <c r="J440" s="819"/>
      <c r="K440" s="819"/>
      <c r="L440" s="819"/>
      <c r="M440" s="819"/>
      <c r="N440" s="819"/>
      <c r="O440" s="819"/>
      <c r="P440" s="819"/>
      <c r="Q440" s="819"/>
      <c r="R440" s="819"/>
      <c r="S440" s="819"/>
      <c r="T440" s="819"/>
      <c r="U440" s="819"/>
      <c r="V440" s="819"/>
      <c r="W440" s="819"/>
      <c r="X440" s="819"/>
      <c r="Y440" s="819"/>
      <c r="Z440" s="819"/>
      <c r="AA440" s="819"/>
      <c r="AB440" s="819"/>
      <c r="AC440" s="819"/>
      <c r="AE440" s="819"/>
      <c r="AF440" s="819"/>
      <c r="AG440" s="819"/>
      <c r="AH440" s="819"/>
      <c r="AI440" s="819"/>
      <c r="AJ440" s="819"/>
      <c r="AK440" s="819"/>
      <c r="AL440" s="819"/>
      <c r="AM440" s="819"/>
      <c r="AN440" s="819"/>
      <c r="AO440" s="819"/>
      <c r="AP440" s="819"/>
      <c r="AQ440" s="819"/>
      <c r="AR440" s="819"/>
      <c r="AS440" s="819"/>
      <c r="AT440" s="819"/>
      <c r="AU440" s="819"/>
      <c r="AV440" s="819"/>
      <c r="AW440" s="819"/>
      <c r="AX440" s="819"/>
      <c r="AY440" s="819"/>
      <c r="AZ440" s="819"/>
      <c r="BA440" s="819"/>
    </row>
    <row r="459" spans="36:36">
      <c r="AJ459" s="819" t="s">
        <v>1451</v>
      </c>
    </row>
    <row r="460" spans="36:36">
      <c r="AJ460" s="819" t="s">
        <v>1523</v>
      </c>
    </row>
    <row r="461" spans="36:36">
      <c r="AJ461" s="819" t="s">
        <v>1524</v>
      </c>
    </row>
    <row r="462" spans="36:36">
      <c r="AJ462" s="819" t="s">
        <v>1525</v>
      </c>
    </row>
    <row r="481" spans="1:28">
      <c r="A481" s="819"/>
      <c r="B481" s="819"/>
      <c r="C481" s="819"/>
      <c r="D481" s="819"/>
      <c r="E481" s="819"/>
      <c r="F481" s="819"/>
      <c r="G481" s="819"/>
      <c r="H481" s="819"/>
      <c r="I481" s="819"/>
      <c r="J481" s="819"/>
      <c r="K481" s="819"/>
      <c r="L481" s="819"/>
      <c r="M481" s="819"/>
      <c r="N481" s="819"/>
      <c r="O481" s="819"/>
      <c r="P481" s="819"/>
      <c r="Q481" s="819"/>
      <c r="R481" s="819"/>
      <c r="S481" s="819"/>
      <c r="T481" s="819"/>
      <c r="U481" s="819"/>
      <c r="V481" s="819"/>
      <c r="W481" s="819"/>
      <c r="X481" s="819"/>
      <c r="Y481" s="819"/>
      <c r="Z481" s="819"/>
      <c r="AA481" s="819"/>
      <c r="AB481" s="819"/>
    </row>
  </sheetData>
  <sheetProtection algorithmName="SHA-512" hashValue="tuEftE3dBz6LBXoc5FPvLit0MntMpk9eLT8Breu6otvWghrxLZwQxoGa1kMUyAbtHl5AksGZ9ag11pTglOqU2g==" saltValue="Kt8E7x/8DFNjFLDJY0+bGw==" spinCount="100000" sheet="1" objects="1" scenarios="1"/>
  <mergeCells count="335">
    <mergeCell ref="T12:AB13"/>
    <mergeCell ref="I13:M13"/>
    <mergeCell ref="N13:P13"/>
    <mergeCell ref="G14:H14"/>
    <mergeCell ref="I14:M14"/>
    <mergeCell ref="N14:P14"/>
    <mergeCell ref="Q14:R14"/>
    <mergeCell ref="T14:AB14"/>
    <mergeCell ref="A2:AB2"/>
    <mergeCell ref="G4:H4"/>
    <mergeCell ref="J4:L4"/>
    <mergeCell ref="M4:Q4"/>
    <mergeCell ref="A7:P7"/>
    <mergeCell ref="C9:AB11"/>
    <mergeCell ref="Z15:AA15"/>
    <mergeCell ref="I16:M16"/>
    <mergeCell ref="N16:P16"/>
    <mergeCell ref="Q16:R16"/>
    <mergeCell ref="T16:U16"/>
    <mergeCell ref="V16:W16"/>
    <mergeCell ref="X16:Y16"/>
    <mergeCell ref="Z16:AA16"/>
    <mergeCell ref="I15:M15"/>
    <mergeCell ref="N15:P15"/>
    <mergeCell ref="Q15:R15"/>
    <mergeCell ref="T15:U15"/>
    <mergeCell ref="V15:W15"/>
    <mergeCell ref="X15:Y15"/>
    <mergeCell ref="A23:G23"/>
    <mergeCell ref="I23:J23"/>
    <mergeCell ref="L23:M23"/>
    <mergeCell ref="O23:P23"/>
    <mergeCell ref="R23:S23"/>
    <mergeCell ref="Z17:AA17"/>
    <mergeCell ref="T18:U18"/>
    <mergeCell ref="V18:W18"/>
    <mergeCell ref="X18:Y18"/>
    <mergeCell ref="Z18:AA18"/>
    <mergeCell ref="A20:G20"/>
    <mergeCell ref="I20:J20"/>
    <mergeCell ref="L20:M20"/>
    <mergeCell ref="O20:P20"/>
    <mergeCell ref="R20:S20"/>
    <mergeCell ref="I17:M17"/>
    <mergeCell ref="N17:P17"/>
    <mergeCell ref="Q17:R17"/>
    <mergeCell ref="T17:U17"/>
    <mergeCell ref="V17:W17"/>
    <mergeCell ref="X17:Y17"/>
    <mergeCell ref="I24:J24"/>
    <mergeCell ref="L24:M24"/>
    <mergeCell ref="O24:P24"/>
    <mergeCell ref="O26:P26"/>
    <mergeCell ref="S26:Y26"/>
    <mergeCell ref="AA26:AB26"/>
    <mergeCell ref="I21:J21"/>
    <mergeCell ref="L21:M21"/>
    <mergeCell ref="O21:P21"/>
    <mergeCell ref="V21:AC21"/>
    <mergeCell ref="V22:AC22"/>
    <mergeCell ref="I30:J30"/>
    <mergeCell ref="L30:M30"/>
    <mergeCell ref="O30:P30"/>
    <mergeCell ref="O32:P32"/>
    <mergeCell ref="S32:Y32"/>
    <mergeCell ref="AA32:AB32"/>
    <mergeCell ref="O27:P27"/>
    <mergeCell ref="U27:AB27"/>
    <mergeCell ref="A29:G29"/>
    <mergeCell ref="I29:J29"/>
    <mergeCell ref="L29:M29"/>
    <mergeCell ref="O29:P29"/>
    <mergeCell ref="R29:S29"/>
    <mergeCell ref="F38:N38"/>
    <mergeCell ref="U38:AC38"/>
    <mergeCell ref="A40:P40"/>
    <mergeCell ref="A43:S43"/>
    <mergeCell ref="D46:D47"/>
    <mergeCell ref="F46:G46"/>
    <mergeCell ref="K46:K47"/>
    <mergeCell ref="O33:P33"/>
    <mergeCell ref="U33:AB33"/>
    <mergeCell ref="E34:O36"/>
    <mergeCell ref="P35:Y35"/>
    <mergeCell ref="AA35:AB35"/>
    <mergeCell ref="F37:N37"/>
    <mergeCell ref="U37:AC37"/>
    <mergeCell ref="C58:D58"/>
    <mergeCell ref="D59:AB59"/>
    <mergeCell ref="D63:D64"/>
    <mergeCell ref="F63:G63"/>
    <mergeCell ref="K63:K64"/>
    <mergeCell ref="N63:N64"/>
    <mergeCell ref="P63:Q63"/>
    <mergeCell ref="R63:S63"/>
    <mergeCell ref="D50:D51"/>
    <mergeCell ref="F50:J50"/>
    <mergeCell ref="K50:K51"/>
    <mergeCell ref="D54:D55"/>
    <mergeCell ref="F54:G54"/>
    <mergeCell ref="K54:K55"/>
    <mergeCell ref="D67:D68"/>
    <mergeCell ref="F67:G67"/>
    <mergeCell ref="K67:K68"/>
    <mergeCell ref="N67:N68"/>
    <mergeCell ref="P67:T67"/>
    <mergeCell ref="D71:D72"/>
    <mergeCell ref="F71:G71"/>
    <mergeCell ref="K71:K72"/>
    <mergeCell ref="N71:N72"/>
    <mergeCell ref="P71:Q71"/>
    <mergeCell ref="G89:H89"/>
    <mergeCell ref="E91:E92"/>
    <mergeCell ref="J91:J92"/>
    <mergeCell ref="E97:E98"/>
    <mergeCell ref="J97:J98"/>
    <mergeCell ref="G101:H102"/>
    <mergeCell ref="R71:S71"/>
    <mergeCell ref="B74:C75"/>
    <mergeCell ref="C76:D76"/>
    <mergeCell ref="D77:AB78"/>
    <mergeCell ref="A81:S81"/>
    <mergeCell ref="E85:E86"/>
    <mergeCell ref="J85:J86"/>
    <mergeCell ref="E115:E116"/>
    <mergeCell ref="J115:J116"/>
    <mergeCell ref="G119:H119"/>
    <mergeCell ref="E121:E122"/>
    <mergeCell ref="J121:J122"/>
    <mergeCell ref="B125:C126"/>
    <mergeCell ref="G125:H125"/>
    <mergeCell ref="G103:H103"/>
    <mergeCell ref="C104:D104"/>
    <mergeCell ref="D105:AB105"/>
    <mergeCell ref="E109:E110"/>
    <mergeCell ref="J109:J110"/>
    <mergeCell ref="G113:H113"/>
    <mergeCell ref="C146:D146"/>
    <mergeCell ref="M146:N146"/>
    <mergeCell ref="F148:F149"/>
    <mergeCell ref="K148:K149"/>
    <mergeCell ref="H152:I152"/>
    <mergeCell ref="C154:D154"/>
    <mergeCell ref="C128:D128"/>
    <mergeCell ref="D129:AB133"/>
    <mergeCell ref="A136:T136"/>
    <mergeCell ref="H139:I139"/>
    <mergeCell ref="H140:I141"/>
    <mergeCell ref="F144:F145"/>
    <mergeCell ref="K144:K145"/>
    <mergeCell ref="F169:F170"/>
    <mergeCell ref="K169:K170"/>
    <mergeCell ref="H173:I173"/>
    <mergeCell ref="C175:D175"/>
    <mergeCell ref="D176:AB180"/>
    <mergeCell ref="A183:W183"/>
    <mergeCell ref="D155:AB159"/>
    <mergeCell ref="H162:I162"/>
    <mergeCell ref="F165:F166"/>
    <mergeCell ref="K165:K166"/>
    <mergeCell ref="B167:B168"/>
    <mergeCell ref="C167:D167"/>
    <mergeCell ref="M167:N167"/>
    <mergeCell ref="J197:J198"/>
    <mergeCell ref="O197:O198"/>
    <mergeCell ref="F201:G202"/>
    <mergeCell ref="L201:M201"/>
    <mergeCell ref="C203:J203"/>
    <mergeCell ref="D204:AB209"/>
    <mergeCell ref="L186:M187"/>
    <mergeCell ref="N186:P187"/>
    <mergeCell ref="J193:J194"/>
    <mergeCell ref="O193:O194"/>
    <mergeCell ref="G195:H195"/>
    <mergeCell ref="Q195:R195"/>
    <mergeCell ref="E220:E221"/>
    <mergeCell ref="J220:J221"/>
    <mergeCell ref="T220:T221"/>
    <mergeCell ref="Y220:Y221"/>
    <mergeCell ref="A222:A223"/>
    <mergeCell ref="B222:C222"/>
    <mergeCell ref="L222:M222"/>
    <mergeCell ref="N222:O223"/>
    <mergeCell ref="P222:P223"/>
    <mergeCell ref="Q222:R222"/>
    <mergeCell ref="AA222:AB222"/>
    <mergeCell ref="L223:M226"/>
    <mergeCell ref="E224:E225"/>
    <mergeCell ref="J224:J225"/>
    <mergeCell ref="T224:T225"/>
    <mergeCell ref="Y224:Y225"/>
    <mergeCell ref="X226:Z228"/>
    <mergeCell ref="G228:H228"/>
    <mergeCell ref="V228:W228"/>
    <mergeCell ref="C256:D256"/>
    <mergeCell ref="R256:S256"/>
    <mergeCell ref="C230:D230"/>
    <mergeCell ref="D231:AC238"/>
    <mergeCell ref="B241:AA242"/>
    <mergeCell ref="G243:J243"/>
    <mergeCell ref="H244:I244"/>
    <mergeCell ref="H245:I246"/>
    <mergeCell ref="L245:O245"/>
    <mergeCell ref="Y256:Z256"/>
    <mergeCell ref="R257:S258"/>
    <mergeCell ref="F258:F259"/>
    <mergeCell ref="K258:K259"/>
    <mergeCell ref="P258:P259"/>
    <mergeCell ref="X258:X259"/>
    <mergeCell ref="E253:G253"/>
    <mergeCell ref="F254:F255"/>
    <mergeCell ref="K254:K255"/>
    <mergeCell ref="P254:P255"/>
    <mergeCell ref="X254:X255"/>
    <mergeCell ref="J280:L280"/>
    <mergeCell ref="F281:F282"/>
    <mergeCell ref="K281:K282"/>
    <mergeCell ref="P281:P282"/>
    <mergeCell ref="B283:B284"/>
    <mergeCell ref="C283:D283"/>
    <mergeCell ref="G262:I262"/>
    <mergeCell ref="M262:N262"/>
    <mergeCell ref="Q262:R262"/>
    <mergeCell ref="C264:J264"/>
    <mergeCell ref="C265:AC269"/>
    <mergeCell ref="G272:J272"/>
    <mergeCell ref="L272:O272"/>
    <mergeCell ref="K290:K291"/>
    <mergeCell ref="G293:J293"/>
    <mergeCell ref="L293:O293"/>
    <mergeCell ref="J301:L301"/>
    <mergeCell ref="F302:F303"/>
    <mergeCell ref="K302:K303"/>
    <mergeCell ref="R283:S283"/>
    <mergeCell ref="R284:S286"/>
    <mergeCell ref="F285:F286"/>
    <mergeCell ref="K285:K286"/>
    <mergeCell ref="P285:P286"/>
    <mergeCell ref="H289:I289"/>
    <mergeCell ref="M289:N289"/>
    <mergeCell ref="Q289:R289"/>
    <mergeCell ref="C312:D312"/>
    <mergeCell ref="D313:AC320"/>
    <mergeCell ref="A323:T323"/>
    <mergeCell ref="P302:P303"/>
    <mergeCell ref="B304:B305"/>
    <mergeCell ref="C304:D304"/>
    <mergeCell ref="R304:S304"/>
    <mergeCell ref="F306:F307"/>
    <mergeCell ref="K306:K307"/>
    <mergeCell ref="P306:P307"/>
    <mergeCell ref="E327:E328"/>
    <mergeCell ref="J327:J328"/>
    <mergeCell ref="O327:O328"/>
    <mergeCell ref="G331:H331"/>
    <mergeCell ref="K332:N332"/>
    <mergeCell ref="E333:E334"/>
    <mergeCell ref="J333:J334"/>
    <mergeCell ref="O333:O334"/>
    <mergeCell ref="O308:Q310"/>
    <mergeCell ref="H310:I310"/>
    <mergeCell ref="M310:N310"/>
    <mergeCell ref="C346:D346"/>
    <mergeCell ref="D347:AB348"/>
    <mergeCell ref="E353:E354"/>
    <mergeCell ref="J353:J354"/>
    <mergeCell ref="O353:O354"/>
    <mergeCell ref="T333:U333"/>
    <mergeCell ref="G337:H337"/>
    <mergeCell ref="L337:M337"/>
    <mergeCell ref="E339:E340"/>
    <mergeCell ref="J339:J340"/>
    <mergeCell ref="O339:O340"/>
    <mergeCell ref="T339:U339"/>
    <mergeCell ref="G357:H357"/>
    <mergeCell ref="L357:M357"/>
    <mergeCell ref="E359:E360"/>
    <mergeCell ref="J359:J360"/>
    <mergeCell ref="O359:O360"/>
    <mergeCell ref="T359:U359"/>
    <mergeCell ref="G343:H344"/>
    <mergeCell ref="L343:M343"/>
    <mergeCell ref="G345:H345"/>
    <mergeCell ref="B368:C369"/>
    <mergeCell ref="C372:D372"/>
    <mergeCell ref="D373:AC377"/>
    <mergeCell ref="A380:T380"/>
    <mergeCell ref="E384:E385"/>
    <mergeCell ref="J384:J385"/>
    <mergeCell ref="O384:O385"/>
    <mergeCell ref="G363:H363"/>
    <mergeCell ref="L363:M363"/>
    <mergeCell ref="E365:E366"/>
    <mergeCell ref="J365:J366"/>
    <mergeCell ref="O365:O366"/>
    <mergeCell ref="T365:U365"/>
    <mergeCell ref="G394:H394"/>
    <mergeCell ref="L394:M394"/>
    <mergeCell ref="E396:E397"/>
    <mergeCell ref="J396:J397"/>
    <mergeCell ref="O396:O397"/>
    <mergeCell ref="T396:U396"/>
    <mergeCell ref="G388:H388"/>
    <mergeCell ref="L388:M388"/>
    <mergeCell ref="E390:E391"/>
    <mergeCell ref="J390:J391"/>
    <mergeCell ref="O390:O391"/>
    <mergeCell ref="T390:U390"/>
    <mergeCell ref="E412:E413"/>
    <mergeCell ref="J412:J413"/>
    <mergeCell ref="O412:O413"/>
    <mergeCell ref="G416:H416"/>
    <mergeCell ref="L416:M416"/>
    <mergeCell ref="E418:E419"/>
    <mergeCell ref="J418:J419"/>
    <mergeCell ref="O418:O419"/>
    <mergeCell ref="B399:C400"/>
    <mergeCell ref="G400:H400"/>
    <mergeCell ref="L400:M401"/>
    <mergeCell ref="L402:M402"/>
    <mergeCell ref="C403:D403"/>
    <mergeCell ref="D404:AB407"/>
    <mergeCell ref="B427:C428"/>
    <mergeCell ref="G428:H429"/>
    <mergeCell ref="L428:M428"/>
    <mergeCell ref="G430:H430"/>
    <mergeCell ref="C434:D434"/>
    <mergeCell ref="D435:AB438"/>
    <mergeCell ref="T418:U418"/>
    <mergeCell ref="G422:H422"/>
    <mergeCell ref="L422:M422"/>
    <mergeCell ref="E424:E425"/>
    <mergeCell ref="J424:J425"/>
    <mergeCell ref="O424:O425"/>
    <mergeCell ref="T424:U424"/>
  </mergeCells>
  <conditionalFormatting sqref="U33:AB33">
    <cfRule type="expression" dxfId="13" priority="2" stopIfTrue="1">
      <formula>$R$29&lt;0.5</formula>
    </cfRule>
  </conditionalFormatting>
  <conditionalFormatting sqref="U27:AB27">
    <cfRule type="expression" dxfId="12" priority="1" stopIfTrue="1">
      <formula>MIN($R$20,$R$23)&lt;0.5</formula>
    </cfRule>
  </conditionalFormatting>
  <dataValidations count="1">
    <dataValidation type="list" allowBlank="1" showInputMessage="1" showErrorMessage="1" sqref="V22:AC22" xr:uid="{00000000-0002-0000-0C00-000000000000}">
      <formula1>$AJ$459:$AJ$462</formula1>
    </dataValidation>
  </dataValidations>
  <pageMargins left="0.7" right="0.7" top="0.75" bottom="0.75" header="0.3" footer="0.3"/>
  <pageSetup paperSize="17" scale="74" orientation="landscape" horizontalDpi="4294967292" r:id="rId1"/>
  <headerFooter alignWithMargins="0">
    <oddFooter>&amp;R&amp;F
Tab: &amp;A</oddFooter>
  </headerFooter>
  <rowBreaks count="1" manualBreakCount="1">
    <brk id="321" max="32"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U57"/>
  <sheetViews>
    <sheetView showGridLines="0" topLeftCell="A7" zoomScaleNormal="100" zoomScaleSheetLayoutView="100" workbookViewId="0">
      <selection sqref="A1:K1"/>
    </sheetView>
  </sheetViews>
  <sheetFormatPr defaultRowHeight="13.2"/>
  <cols>
    <col min="4" max="4" width="9.33203125" bestFit="1" customWidth="1"/>
    <col min="5" max="5" width="12.33203125" bestFit="1" customWidth="1"/>
    <col min="6" max="6" width="10" customWidth="1"/>
    <col min="8" max="9" width="9.33203125" bestFit="1" customWidth="1"/>
    <col min="11" max="11" width="12.88671875" customWidth="1"/>
    <col min="14" max="14" width="9.109375" style="606"/>
  </cols>
  <sheetData>
    <row r="1" spans="1:14" ht="15.6">
      <c r="A1" s="2146" t="s">
        <v>1528</v>
      </c>
      <c r="B1" s="2146"/>
      <c r="C1" s="2146"/>
      <c r="D1" s="2146"/>
      <c r="E1" s="2146"/>
      <c r="F1" s="2146"/>
      <c r="G1" s="2146"/>
      <c r="H1" s="2146"/>
      <c r="I1" s="2146"/>
      <c r="J1" s="2146"/>
      <c r="K1" s="2146"/>
    </row>
    <row r="2" spans="1:14" ht="15.6">
      <c r="A2" s="2146" t="s">
        <v>1529</v>
      </c>
      <c r="B2" s="2146"/>
      <c r="C2" s="2146"/>
      <c r="D2" s="2146"/>
      <c r="E2" s="2146"/>
      <c r="F2" s="2146"/>
      <c r="G2" s="2146"/>
      <c r="H2" s="2146"/>
      <c r="I2" s="2146"/>
    </row>
    <row r="3" spans="1:14" ht="16.2" thickBot="1">
      <c r="A3" s="1409"/>
      <c r="B3" s="1409"/>
      <c r="C3" s="1409"/>
      <c r="D3" s="1409"/>
      <c r="E3" s="1409"/>
      <c r="F3" s="1409"/>
      <c r="G3" s="1409"/>
      <c r="H3" s="1409"/>
      <c r="I3" s="1409"/>
      <c r="L3" s="670"/>
    </row>
    <row r="4" spans="1:14">
      <c r="B4" s="1513" t="s">
        <v>165</v>
      </c>
      <c r="C4" s="1514"/>
      <c r="D4" s="1514"/>
      <c r="E4" s="2149" t="s">
        <v>166</v>
      </c>
      <c r="F4" s="2150"/>
    </row>
    <row r="5" spans="1:14">
      <c r="B5" s="1430" t="s">
        <v>1530</v>
      </c>
      <c r="C5" s="1431"/>
      <c r="D5" s="1431"/>
      <c r="E5" s="2153">
        <f>'1) Data Entry'!E16:F16</f>
        <v>0</v>
      </c>
      <c r="F5" s="2154"/>
    </row>
    <row r="6" spans="1:14">
      <c r="B6" s="1430" t="s">
        <v>1531</v>
      </c>
      <c r="C6" s="1431"/>
      <c r="D6" s="1431"/>
      <c r="E6" s="2147">
        <f ca="1">'6) Zone Imp'!E10</f>
        <v>0</v>
      </c>
      <c r="F6" s="2148"/>
      <c r="J6" s="103" t="s">
        <v>1532</v>
      </c>
      <c r="K6" s="858">
        <v>0.25</v>
      </c>
    </row>
    <row r="7" spans="1:14">
      <c r="B7" s="1430" t="s">
        <v>168</v>
      </c>
      <c r="C7" s="1431"/>
      <c r="D7" s="1431"/>
      <c r="E7" s="2151">
        <f>_SYNC_Ref</f>
        <v>0</v>
      </c>
      <c r="F7" s="2152"/>
      <c r="J7" s="103" t="s">
        <v>1533</v>
      </c>
      <c r="K7" s="858">
        <v>0.25</v>
      </c>
    </row>
    <row r="8" spans="1:14">
      <c r="B8" s="1463" t="s">
        <v>1534</v>
      </c>
      <c r="C8" s="1464"/>
      <c r="D8" s="1464"/>
      <c r="E8" s="2151" t="str">
        <f>IF(E7="VAY",E6,IF(E7="VBY",E6,IF(E7="VCY",E6,IF(E7="VAZ",'1) Data Entry'!E274,IF(E7="VBZ",'1) Data Entry'!E275,IF(E7="VCZ",'1) Data Entry'!E276,""))))))</f>
        <v/>
      </c>
      <c r="F8" s="2152"/>
      <c r="H8" s="103"/>
      <c r="J8" s="103" t="s">
        <v>1535</v>
      </c>
      <c r="K8" s="858">
        <v>0.75</v>
      </c>
      <c r="L8" s="322"/>
      <c r="M8" s="322"/>
      <c r="N8" s="609"/>
    </row>
    <row r="9" spans="1:14">
      <c r="B9" s="1463" t="s">
        <v>170</v>
      </c>
      <c r="C9" s="1464"/>
      <c r="D9" s="1464"/>
      <c r="E9" s="2151">
        <f>_SYNC_Source</f>
        <v>0</v>
      </c>
      <c r="F9" s="2152"/>
      <c r="H9" s="722"/>
      <c r="J9" s="103" t="s">
        <v>1536</v>
      </c>
      <c r="K9" s="858">
        <v>1.25</v>
      </c>
      <c r="N9" s="609"/>
    </row>
    <row r="10" spans="1:14">
      <c r="B10" s="1430" t="s">
        <v>172</v>
      </c>
      <c r="C10" s="1431"/>
      <c r="D10" s="1431"/>
      <c r="E10" s="2151">
        <f>'1) Data Entry'!E272:F272</f>
        <v>0</v>
      </c>
      <c r="F10" s="2152"/>
      <c r="H10" s="103"/>
      <c r="K10" s="1175"/>
      <c r="N10" s="609"/>
    </row>
    <row r="11" spans="1:14" ht="11.25" customHeight="1">
      <c r="B11" s="1430" t="s">
        <v>1537</v>
      </c>
      <c r="C11" s="1431"/>
      <c r="D11" s="1431"/>
      <c r="E11" s="2151" t="str">
        <f>IF(E9="VAY",E6,IF(E9="VBY",E6,IF(E9="VCY",E6,IF(E9="VAZ",'1) Data Entry'!E274,IF(E9="VBZ",'1) Data Entry'!E275,IF(E9="VCZ",'1) Data Entry'!E276,""))))))</f>
        <v/>
      </c>
      <c r="F11" s="2152"/>
      <c r="H11" s="103"/>
      <c r="L11" s="1175"/>
      <c r="M11" s="322"/>
      <c r="N11" s="609"/>
    </row>
    <row r="12" spans="1:14">
      <c r="B12" s="1430" t="s">
        <v>1538</v>
      </c>
      <c r="C12" s="1431"/>
      <c r="D12" s="1431"/>
      <c r="E12" s="2138" t="str">
        <f>IF(E10="VAY",E6,IF(E10="VBY",E6,IF(E10="VCY",E6,IF(E10="VAZ",'1) Data Entry'!E274,IF(E10="VBZ",'1) Data Entry'!E275,IF(E10="VCZ",'1) Data Entry'!E276,""))))))</f>
        <v/>
      </c>
      <c r="F12" s="2139"/>
      <c r="H12" s="103"/>
      <c r="K12" s="1175"/>
      <c r="L12" s="1175"/>
      <c r="M12" s="322"/>
      <c r="N12" s="609"/>
    </row>
    <row r="13" spans="1:14">
      <c r="B13" s="1430" t="s">
        <v>174</v>
      </c>
      <c r="C13" s="1431"/>
      <c r="D13" s="1431"/>
      <c r="E13" s="2138">
        <f>IF('1) Data Entry'!E273="",'1) Data Entry'!E270,'1) Data Entry'!E273)</f>
        <v>0</v>
      </c>
      <c r="F13" s="2139"/>
      <c r="H13" s="103"/>
      <c r="K13" s="1175"/>
      <c r="L13" s="1175"/>
      <c r="M13" s="322"/>
      <c r="N13" s="609"/>
    </row>
    <row r="14" spans="1:14" ht="13.8" thickBot="1">
      <c r="B14" s="2133" t="s">
        <v>1539</v>
      </c>
      <c r="C14" s="2134"/>
      <c r="D14" s="2135"/>
      <c r="E14" s="2136">
        <f>'1) Data Entry'!E274:F274</f>
        <v>0</v>
      </c>
      <c r="F14" s="2137"/>
      <c r="H14" s="103"/>
      <c r="I14" s="401"/>
      <c r="J14" s="1024"/>
      <c r="N14" s="609"/>
    </row>
    <row r="15" spans="1:14" ht="13.8" thickBot="1">
      <c r="N15" s="609"/>
    </row>
    <row r="16" spans="1:14" ht="13.8" thickBot="1">
      <c r="C16" s="1228"/>
      <c r="D16" s="36"/>
      <c r="E16" s="305">
        <f>E5*1000</f>
        <v>0</v>
      </c>
      <c r="F16" s="303" t="s">
        <v>1540</v>
      </c>
      <c r="G16" s="103" t="str">
        <f ca="1">E6&amp;")    ="</f>
        <v>0)    =</v>
      </c>
      <c r="H16" s="306" t="e">
        <f ca="1">E5*1000/(SQRT(3)*E6)</f>
        <v>#DIV/0!</v>
      </c>
      <c r="I16" t="s">
        <v>1541</v>
      </c>
      <c r="J16" s="323" t="s">
        <v>1542</v>
      </c>
      <c r="K16" s="307" t="e">
        <f ca="1">H16*SQRT(3)</f>
        <v>#DIV/0!</v>
      </c>
      <c r="L16" t="s">
        <v>1543</v>
      </c>
      <c r="N16" s="606" t="s">
        <v>1544</v>
      </c>
    </row>
    <row r="17" spans="3:21" ht="13.8" thickBot="1"/>
    <row r="18" spans="3:21" ht="13.8" thickBot="1">
      <c r="C18" s="1228"/>
      <c r="D18" s="36"/>
      <c r="E18" s="305">
        <f>E5*1000</f>
        <v>0</v>
      </c>
      <c r="F18" s="303" t="s">
        <v>1540</v>
      </c>
      <c r="G18" s="103" t="str">
        <f>E14&amp;")    ="</f>
        <v>0)    =</v>
      </c>
      <c r="H18" s="306" t="e">
        <f>E5*1000/(SQRT(3)*E14)</f>
        <v>#DIV/0!</v>
      </c>
      <c r="I18" t="s">
        <v>1541</v>
      </c>
      <c r="J18" s="323" t="s">
        <v>1545</v>
      </c>
      <c r="K18" s="307" t="e">
        <f>H18*SQRT(3)</f>
        <v>#DIV/0!</v>
      </c>
      <c r="L18" t="s">
        <v>1543</v>
      </c>
      <c r="N18" s="606" t="s">
        <v>1546</v>
      </c>
    </row>
    <row r="20" spans="3:21" ht="13.8" thickBot="1">
      <c r="C20" s="308" t="s">
        <v>1547</v>
      </c>
      <c r="D20" s="308"/>
      <c r="E20" s="308"/>
      <c r="F20" s="35"/>
      <c r="G20" s="35"/>
      <c r="H20" s="35"/>
    </row>
    <row r="21" spans="3:21" ht="14.4" thickTop="1" thickBot="1">
      <c r="C21" s="35"/>
      <c r="D21" s="35"/>
      <c r="E21" s="103" t="s">
        <v>1548</v>
      </c>
      <c r="F21" s="387" t="e">
        <f>E5*1000/E8/SQRT(3)</f>
        <v>#VALUE!</v>
      </c>
      <c r="G21" s="51" t="s">
        <v>620</v>
      </c>
      <c r="H21" s="387" t="e">
        <f>E5*1000/E11/SQRT(3)</f>
        <v>#VALUE!</v>
      </c>
      <c r="J21" s="323" t="s">
        <v>1549</v>
      </c>
      <c r="K21" s="398" t="e">
        <f>F21/H21</f>
        <v>#VALUE!</v>
      </c>
      <c r="N21" s="606" t="s">
        <v>1550</v>
      </c>
    </row>
    <row r="22" spans="3:21" ht="13.8" thickBot="1">
      <c r="C22" s="35"/>
      <c r="D22" s="35"/>
      <c r="E22" s="722" t="s">
        <v>1551</v>
      </c>
      <c r="F22" s="387" t="e">
        <f>E5*1000/E8/SQRT(3)</f>
        <v>#VALUE!</v>
      </c>
      <c r="G22" s="51" t="s">
        <v>620</v>
      </c>
      <c r="H22" s="387" t="e">
        <f>E5*1000/E12/SQRT(3)</f>
        <v>#VALUE!</v>
      </c>
      <c r="J22" s="323" t="s">
        <v>1552</v>
      </c>
      <c r="K22" s="398" t="e">
        <f>F22/H22</f>
        <v>#VALUE!</v>
      </c>
    </row>
    <row r="23" spans="3:21" ht="13.5" customHeight="1" thickBot="1">
      <c r="J23" s="323" t="s">
        <v>1553</v>
      </c>
      <c r="K23" s="1025">
        <v>0</v>
      </c>
      <c r="L23" s="670" t="s">
        <v>1554</v>
      </c>
      <c r="M23" s="1026" t="s">
        <v>1555</v>
      </c>
      <c r="O23" s="1027"/>
      <c r="P23" s="1027"/>
      <c r="Q23" s="1027"/>
      <c r="R23" s="1027"/>
      <c r="S23" s="1027"/>
      <c r="T23" s="1027"/>
      <c r="U23" s="1027"/>
    </row>
    <row r="24" spans="3:21" ht="13.8" thickBot="1">
      <c r="E24" s="103" t="s">
        <v>1556</v>
      </c>
      <c r="F24" s="315">
        <f>K9</f>
        <v>1.25</v>
      </c>
      <c r="G24" s="51" t="s">
        <v>349</v>
      </c>
      <c r="H24" s="387" t="e">
        <f>F21</f>
        <v>#VALUE!</v>
      </c>
      <c r="I24" s="47"/>
      <c r="J24" s="323" t="s">
        <v>1557</v>
      </c>
      <c r="K24" s="309" t="e">
        <f>F24*H24</f>
        <v>#VALUE!</v>
      </c>
      <c r="L24" t="s">
        <v>1558</v>
      </c>
      <c r="N24" s="606" t="s">
        <v>1559</v>
      </c>
    </row>
    <row r="25" spans="3:21" ht="13.8" thickBot="1">
      <c r="E25" s="103" t="s">
        <v>1560</v>
      </c>
      <c r="F25" s="315">
        <f>K8</f>
        <v>0.75</v>
      </c>
      <c r="G25" s="51" t="s">
        <v>349</v>
      </c>
      <c r="H25" s="387" t="e">
        <f>F21</f>
        <v>#VALUE!</v>
      </c>
      <c r="I25" s="51"/>
      <c r="J25" s="323" t="s">
        <v>1561</v>
      </c>
      <c r="K25" s="309" t="e">
        <f>F25*H25</f>
        <v>#VALUE!</v>
      </c>
      <c r="L25" t="s">
        <v>1558</v>
      </c>
      <c r="N25" s="606" t="s">
        <v>1562</v>
      </c>
    </row>
    <row r="26" spans="3:21" ht="13.8" thickBot="1">
      <c r="J26" s="386" t="s">
        <v>1563</v>
      </c>
      <c r="K26" s="309">
        <f>E7</f>
        <v>0</v>
      </c>
      <c r="N26" s="606" t="s">
        <v>1564</v>
      </c>
    </row>
    <row r="27" spans="3:21" ht="13.8" thickBot="1">
      <c r="J27" s="323" t="s">
        <v>1565</v>
      </c>
      <c r="K27" s="309">
        <f>E9</f>
        <v>0</v>
      </c>
    </row>
    <row r="28" spans="3:21" ht="13.8" thickBot="1">
      <c r="J28" s="323" t="s">
        <v>1566</v>
      </c>
      <c r="K28" s="309">
        <f>E10</f>
        <v>0</v>
      </c>
    </row>
    <row r="29" spans="3:21" ht="13.8" thickBot="1"/>
    <row r="30" spans="3:21" ht="13.8" thickBot="1">
      <c r="E30" s="103" t="s">
        <v>1567</v>
      </c>
      <c r="F30" s="315">
        <f>K7</f>
        <v>0.25</v>
      </c>
      <c r="G30" s="51" t="s">
        <v>349</v>
      </c>
      <c r="H30" s="387" t="e">
        <f>F21</f>
        <v>#VALUE!</v>
      </c>
      <c r="I30" s="51"/>
      <c r="J30" s="323" t="s">
        <v>1568</v>
      </c>
      <c r="K30" s="309" t="e">
        <f t="shared" ref="K30:K35" si="0">F30*H30</f>
        <v>#VALUE!</v>
      </c>
      <c r="L30" t="s">
        <v>1558</v>
      </c>
      <c r="N30" s="606" t="s">
        <v>1569</v>
      </c>
    </row>
    <row r="31" spans="3:21" ht="13.8" thickBot="1">
      <c r="E31" s="103" t="s">
        <v>1570</v>
      </c>
      <c r="F31" s="315">
        <f>K8</f>
        <v>0.75</v>
      </c>
      <c r="G31" s="51" t="s">
        <v>349</v>
      </c>
      <c r="H31" s="387" t="e">
        <f>F21</f>
        <v>#VALUE!</v>
      </c>
      <c r="I31" s="51"/>
      <c r="J31" s="323" t="s">
        <v>1571</v>
      </c>
      <c r="K31" s="309" t="e">
        <f t="shared" si="0"/>
        <v>#VALUE!</v>
      </c>
      <c r="L31" t="s">
        <v>1558</v>
      </c>
      <c r="N31" s="606" t="s">
        <v>1572</v>
      </c>
    </row>
    <row r="32" spans="3:21" ht="13.8" thickBot="1">
      <c r="E32" s="103" t="s">
        <v>1573</v>
      </c>
      <c r="F32" s="315">
        <f>K6</f>
        <v>0.25</v>
      </c>
      <c r="G32" s="51" t="s">
        <v>349</v>
      </c>
      <c r="H32" s="387" t="e">
        <f>F21</f>
        <v>#VALUE!</v>
      </c>
      <c r="I32" s="51"/>
      <c r="J32" s="323" t="s">
        <v>1574</v>
      </c>
      <c r="K32" s="309" t="e">
        <f t="shared" si="0"/>
        <v>#VALUE!</v>
      </c>
      <c r="L32" t="s">
        <v>1558</v>
      </c>
      <c r="N32" s="606" t="s">
        <v>1575</v>
      </c>
    </row>
    <row r="33" spans="1:17" ht="13.8" thickBot="1">
      <c r="E33" s="103" t="s">
        <v>1576</v>
      </c>
      <c r="F33" s="315">
        <f>K8</f>
        <v>0.75</v>
      </c>
      <c r="G33" s="51" t="s">
        <v>349</v>
      </c>
      <c r="H33" s="387" t="e">
        <f>F21</f>
        <v>#VALUE!</v>
      </c>
      <c r="I33" s="51"/>
      <c r="J33" s="323" t="s">
        <v>1577</v>
      </c>
      <c r="K33" s="309" t="e">
        <f t="shared" si="0"/>
        <v>#VALUE!</v>
      </c>
      <c r="L33" t="s">
        <v>1558</v>
      </c>
      <c r="N33" s="606" t="s">
        <v>1578</v>
      </c>
      <c r="Q33" s="670"/>
    </row>
    <row r="34" spans="1:17" ht="13.8" thickBot="1">
      <c r="E34" s="722" t="s">
        <v>1579</v>
      </c>
      <c r="F34" s="315">
        <f>K6</f>
        <v>0.25</v>
      </c>
      <c r="G34" s="51" t="s">
        <v>349</v>
      </c>
      <c r="H34" s="387" t="e">
        <f>F21</f>
        <v>#VALUE!</v>
      </c>
      <c r="I34" s="51"/>
      <c r="J34" s="323" t="s">
        <v>1580</v>
      </c>
      <c r="K34" s="309" t="e">
        <f t="shared" si="0"/>
        <v>#VALUE!</v>
      </c>
      <c r="L34" t="s">
        <v>1558</v>
      </c>
    </row>
    <row r="35" spans="1:17" ht="13.8" thickBot="1">
      <c r="E35" s="722" t="s">
        <v>1581</v>
      </c>
      <c r="F35" s="315">
        <f>K8</f>
        <v>0.75</v>
      </c>
      <c r="G35" s="51" t="s">
        <v>349</v>
      </c>
      <c r="H35" s="387" t="e">
        <f>F21</f>
        <v>#VALUE!</v>
      </c>
      <c r="I35" s="51"/>
      <c r="J35" s="323" t="s">
        <v>1582</v>
      </c>
      <c r="K35" s="309" t="e">
        <f t="shared" si="0"/>
        <v>#VALUE!</v>
      </c>
      <c r="L35" t="s">
        <v>1558</v>
      </c>
    </row>
    <row r="38" spans="1:17" ht="13.8" thickBot="1">
      <c r="C38" s="1343" t="s">
        <v>174</v>
      </c>
      <c r="D38" s="411"/>
      <c r="E38" s="411"/>
      <c r="M38" s="363"/>
      <c r="N38" s="610"/>
    </row>
    <row r="39" spans="1:17" ht="13.8" thickTop="1"/>
    <row r="40" spans="1:17">
      <c r="E40" s="103" t="s">
        <v>1583</v>
      </c>
      <c r="F40" s="859">
        <v>0.25</v>
      </c>
      <c r="G40" s="51" t="s">
        <v>349</v>
      </c>
      <c r="H40" s="132" t="e">
        <f>F21</f>
        <v>#VALUE!</v>
      </c>
      <c r="I40" s="900" t="s">
        <v>365</v>
      </c>
      <c r="J40" s="392" t="e">
        <f>ROUND(F40*H40,0)</f>
        <v>#VALUE!</v>
      </c>
      <c r="K40" t="s">
        <v>1558</v>
      </c>
      <c r="N40" s="606" t="s">
        <v>1584</v>
      </c>
    </row>
    <row r="41" spans="1:17">
      <c r="F41" s="364" t="s">
        <v>544</v>
      </c>
      <c r="H41" s="364" t="s">
        <v>1585</v>
      </c>
      <c r="O41" t="s">
        <v>243</v>
      </c>
    </row>
    <row r="42" spans="1:17" ht="12.75" customHeight="1" thickBot="1"/>
    <row r="43" spans="1:17" ht="13.8" thickBot="1">
      <c r="G43" s="323" t="s">
        <v>1586</v>
      </c>
      <c r="H43" s="2130" t="e">
        <f>IF(E13="VAY","VAZ",IF(E13="VBY","VBZ",IF(E13="VCY","VCZ",E13)))    &amp; "M &gt; "&amp;J40&amp;" # 27L HOT LINE INDICATION"</f>
        <v>#VALUE!</v>
      </c>
      <c r="I43" s="2131"/>
      <c r="J43" s="2131"/>
      <c r="K43" s="2132"/>
      <c r="N43" s="606" t="s">
        <v>1587</v>
      </c>
    </row>
    <row r="44" spans="1:17" ht="13.8" thickBot="1">
      <c r="G44" s="323" t="s">
        <v>1588</v>
      </c>
      <c r="H44" s="2130" t="e">
        <f>IF(E13="VAY","VAZ",IF(E13="VBY","VBZ",IF(E13="VCY","VCZ",E13)))    &amp; "FM &gt; "&amp;J40&amp;" # 27L HOT LINE INDICATION"</f>
        <v>#VALUE!</v>
      </c>
      <c r="I44" s="2131"/>
      <c r="J44" s="2131"/>
      <c r="K44" s="2132"/>
    </row>
    <row r="45" spans="1:17" ht="13.8" thickBot="1">
      <c r="H45" s="412"/>
      <c r="I45" s="412"/>
      <c r="J45" s="412"/>
      <c r="K45" s="412"/>
    </row>
    <row r="46" spans="1:17" ht="13.8" thickBot="1">
      <c r="E46" s="103"/>
      <c r="F46" s="315"/>
      <c r="G46" s="51"/>
      <c r="H46" s="387"/>
      <c r="I46" s="51"/>
      <c r="J46" s="323" t="s">
        <v>1589</v>
      </c>
      <c r="K46" s="309" t="e">
        <f>J40</f>
        <v>#VALUE!</v>
      </c>
      <c r="L46" t="s">
        <v>1558</v>
      </c>
      <c r="N46" s="606" t="s">
        <v>1590</v>
      </c>
      <c r="O46" s="188"/>
    </row>
    <row r="47" spans="1:17" ht="13.8" thickBot="1">
      <c r="A47" s="665"/>
      <c r="B47" s="665"/>
      <c r="C47" s="676" t="s">
        <v>1591</v>
      </c>
      <c r="D47" s="677"/>
      <c r="E47" s="678"/>
      <c r="F47" s="667"/>
      <c r="G47" s="668"/>
      <c r="H47" s="671"/>
      <c r="I47" s="668"/>
      <c r="J47" s="672"/>
      <c r="K47" s="679"/>
      <c r="L47" s="665"/>
      <c r="M47" s="665"/>
      <c r="N47" s="669"/>
      <c r="O47" s="188"/>
    </row>
    <row r="48" spans="1:17" ht="14.25" customHeight="1" thickTop="1">
      <c r="A48" s="665"/>
      <c r="B48" s="665"/>
      <c r="C48" s="673" t="s">
        <v>1592</v>
      </c>
      <c r="D48" s="665"/>
      <c r="E48" s="666"/>
      <c r="F48" s="667"/>
      <c r="G48" s="672" t="s">
        <v>1593</v>
      </c>
      <c r="H48" s="2140" t="str">
        <f>_SYNC_Source  &amp; "M * " &amp; "PTRZ *1000" &amp; " # SYNC SOURCE  VOLTAGE"</f>
        <v>M * PTRZ *1000 # SYNC SOURCE  VOLTAGE</v>
      </c>
      <c r="I48" s="2141"/>
      <c r="J48" s="2141"/>
      <c r="K48" s="2142"/>
      <c r="L48" s="665"/>
      <c r="M48" s="665"/>
      <c r="N48" s="669"/>
      <c r="O48" s="161"/>
    </row>
    <row r="49" spans="1:21" ht="13.8" thickBot="1">
      <c r="A49" s="665"/>
      <c r="B49" s="665"/>
      <c r="C49" s="665"/>
      <c r="D49" s="665"/>
      <c r="E49" s="666"/>
      <c r="F49" s="667"/>
      <c r="G49" s="668"/>
      <c r="H49" s="2143"/>
      <c r="I49" s="2144"/>
      <c r="J49" s="2144"/>
      <c r="K49" s="2145"/>
      <c r="L49" s="665"/>
      <c r="M49" s="665"/>
      <c r="N49" s="669"/>
      <c r="O49" s="188"/>
    </row>
    <row r="50" spans="1:21">
      <c r="H50" s="586"/>
      <c r="I50" s="586"/>
      <c r="J50" s="586"/>
      <c r="K50" s="586"/>
    </row>
    <row r="51" spans="1:21">
      <c r="A51" s="1269"/>
      <c r="B51" s="1269"/>
      <c r="C51" s="1269"/>
      <c r="D51" s="1269"/>
      <c r="E51" s="1269"/>
      <c r="F51" s="1269"/>
      <c r="G51" s="18"/>
      <c r="H51" s="1269"/>
      <c r="I51" s="1269"/>
      <c r="J51" s="1269"/>
      <c r="K51" s="1269"/>
    </row>
    <row r="52" spans="1:21" s="64" customFormat="1">
      <c r="A52"/>
      <c r="B52"/>
      <c r="C52"/>
      <c r="D52"/>
      <c r="E52"/>
      <c r="F52"/>
      <c r="G52"/>
      <c r="H52"/>
      <c r="I52"/>
      <c r="J52"/>
      <c r="K52"/>
      <c r="L52"/>
      <c r="M52"/>
      <c r="N52" s="606"/>
      <c r="O52" s="188"/>
      <c r="P52" s="353"/>
      <c r="Q52" s="1194"/>
      <c r="R52" s="188"/>
      <c r="S52" s="188"/>
      <c r="T52" s="188"/>
      <c r="U52" s="188"/>
    </row>
    <row r="53" spans="1:21" s="64" customFormat="1">
      <c r="A53"/>
      <c r="B53"/>
      <c r="C53"/>
      <c r="D53"/>
      <c r="E53"/>
      <c r="F53"/>
      <c r="G53"/>
      <c r="H53"/>
      <c r="I53"/>
      <c r="J53"/>
      <c r="K53"/>
      <c r="L53"/>
      <c r="M53"/>
      <c r="N53" s="606"/>
      <c r="O53" s="188"/>
      <c r="P53" s="353"/>
      <c r="Q53" s="1194"/>
      <c r="R53" s="188"/>
      <c r="S53" s="188"/>
      <c r="T53" s="188"/>
      <c r="U53" s="188"/>
    </row>
    <row r="54" spans="1:21" s="64" customFormat="1">
      <c r="A54"/>
      <c r="B54"/>
      <c r="C54"/>
      <c r="D54"/>
      <c r="E54"/>
      <c r="F54"/>
      <c r="G54"/>
      <c r="H54"/>
      <c r="I54"/>
      <c r="J54"/>
      <c r="K54"/>
      <c r="L54"/>
      <c r="M54"/>
      <c r="N54" s="606"/>
      <c r="O54" s="188"/>
      <c r="P54" s="353"/>
      <c r="Q54" s="1194"/>
      <c r="R54" s="188"/>
      <c r="S54" s="188"/>
      <c r="T54" s="188"/>
      <c r="U54" s="188"/>
    </row>
    <row r="55" spans="1:21" s="64" customFormat="1">
      <c r="A55"/>
      <c r="B55"/>
      <c r="C55"/>
      <c r="D55"/>
      <c r="E55"/>
      <c r="F55"/>
      <c r="G55"/>
      <c r="H55"/>
      <c r="I55"/>
      <c r="J55"/>
      <c r="K55"/>
      <c r="L55"/>
      <c r="M55"/>
      <c r="N55" s="606"/>
      <c r="O55" s="188"/>
      <c r="P55" s="353"/>
      <c r="Q55" s="1194"/>
      <c r="R55" s="188"/>
      <c r="S55" s="188"/>
      <c r="T55" s="188"/>
      <c r="U55" s="188"/>
    </row>
    <row r="56" spans="1:21" s="64" customFormat="1" ht="12.75" customHeight="1">
      <c r="A56"/>
      <c r="B56"/>
      <c r="C56"/>
      <c r="D56"/>
      <c r="E56"/>
      <c r="F56"/>
      <c r="G56"/>
      <c r="H56"/>
      <c r="I56"/>
      <c r="J56"/>
      <c r="K56"/>
      <c r="L56"/>
      <c r="M56"/>
      <c r="N56" s="606"/>
      <c r="O56" s="188"/>
      <c r="P56" s="353"/>
      <c r="Q56" s="1194"/>
      <c r="R56" s="188"/>
      <c r="S56" s="188"/>
      <c r="T56" s="188"/>
      <c r="U56" s="188"/>
    </row>
    <row r="57" spans="1:21" s="64" customFormat="1">
      <c r="A57"/>
      <c r="B57"/>
      <c r="C57"/>
      <c r="D57"/>
      <c r="E57"/>
      <c r="F57"/>
      <c r="G57"/>
      <c r="H57"/>
      <c r="I57"/>
      <c r="J57"/>
      <c r="K57"/>
      <c r="L57"/>
      <c r="M57"/>
      <c r="N57" s="606"/>
      <c r="O57" s="188"/>
      <c r="P57" s="353"/>
      <c r="Q57" s="1194"/>
      <c r="R57" s="188"/>
      <c r="S57" s="188"/>
      <c r="T57" s="188"/>
      <c r="U57" s="188"/>
    </row>
  </sheetData>
  <sheetProtection algorithmName="SHA-512" hashValue="iIcprOq1XcoKVUYmAoJ4cuCuecMi8W1PVxXg4iWntL1kCTUtUAzcuBOcmAJyWnHvrfSJGBYwQH/XLOY3y8UDAw==" saltValue="mbcxhH8Wya5Pp1q7hNPhZA==" spinCount="100000" sheet="1" objects="1" scenarios="1"/>
  <mergeCells count="27">
    <mergeCell ref="B10:D10"/>
    <mergeCell ref="B11:D11"/>
    <mergeCell ref="E10:F10"/>
    <mergeCell ref="E12:F12"/>
    <mergeCell ref="E11:F11"/>
    <mergeCell ref="H48:K49"/>
    <mergeCell ref="A1:K1"/>
    <mergeCell ref="A2:I2"/>
    <mergeCell ref="B4:D4"/>
    <mergeCell ref="B7:D7"/>
    <mergeCell ref="E6:F6"/>
    <mergeCell ref="B6:D6"/>
    <mergeCell ref="B5:D5"/>
    <mergeCell ref="E4:F4"/>
    <mergeCell ref="E7:F7"/>
    <mergeCell ref="E5:F5"/>
    <mergeCell ref="E9:F9"/>
    <mergeCell ref="E8:F8"/>
    <mergeCell ref="B9:D9"/>
    <mergeCell ref="B8:D8"/>
    <mergeCell ref="B12:D12"/>
    <mergeCell ref="H44:K44"/>
    <mergeCell ref="B14:D14"/>
    <mergeCell ref="E14:F14"/>
    <mergeCell ref="B13:D13"/>
    <mergeCell ref="E13:F13"/>
    <mergeCell ref="H43:K43"/>
  </mergeCells>
  <phoneticPr fontId="63" type="noConversion"/>
  <pageMargins left="0.7" right="0.7" top="0.75" bottom="0.75" header="0.3" footer="0.3"/>
  <pageSetup paperSize="17" orientation="landscape" horizontalDpi="1200" verticalDpi="1200" r:id="rId1"/>
  <headerFooter alignWithMargins="0">
    <oddFooter>&amp;R&amp;F
Tab: &amp;A</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XEU35"/>
  <sheetViews>
    <sheetView showGridLines="0" workbookViewId="0">
      <selection activeCell="F23" sqref="F23:G23"/>
    </sheetView>
  </sheetViews>
  <sheetFormatPr defaultRowHeight="13.2"/>
  <cols>
    <col min="1" max="1" width="12.44140625" customWidth="1"/>
    <col min="5" max="5" width="3.109375" customWidth="1"/>
    <col min="6" max="7" width="11" bestFit="1" customWidth="1"/>
    <col min="8" max="8" width="15.88671875" customWidth="1"/>
  </cols>
  <sheetData>
    <row r="1" spans="1:1015 1028:2039 2052:3063 3076:4087 4100:5111 5124:6135 6148:7159 7172:8183 8196:9207 9220:10231 10244:11255 11268:12279 12292:13303 13316:14327 14340:15351 15364:16375" s="64" customFormat="1" ht="18" customHeight="1">
      <c r="A1" s="1965" t="s">
        <v>1594</v>
      </c>
      <c r="B1" s="1965"/>
      <c r="C1" s="1965"/>
      <c r="D1" s="1965"/>
      <c r="E1" s="1965"/>
      <c r="F1" s="1965"/>
      <c r="G1" s="1965"/>
      <c r="H1" s="1965"/>
      <c r="I1" s="1965"/>
      <c r="J1" s="1965"/>
      <c r="K1" s="1965"/>
      <c r="L1" s="1965"/>
      <c r="M1" s="1965"/>
      <c r="N1" s="1965"/>
      <c r="O1" s="1965"/>
      <c r="P1" s="1965"/>
      <c r="Q1" s="601"/>
      <c r="R1" s="614"/>
    </row>
    <row r="3" spans="1:1015 1028:2039 2052:3063 3076:4087 4100:5111 5124:6135 6148:7159 7172:8183 8196:9207 9220:10231 10244:11255 11268:12279 12292:13303 13316:14327 14340:15351 15364:16375" ht="21">
      <c r="D3" s="722" t="s">
        <v>1595</v>
      </c>
      <c r="E3" s="670" t="s">
        <v>365</v>
      </c>
      <c r="F3" s="2159" t="str">
        <f>NERC_Criteria</f>
        <v>PRC_023_4</v>
      </c>
      <c r="G3" s="2159"/>
      <c r="H3" s="2159"/>
    </row>
    <row r="5" spans="1:1015 1028:2039 2052:3063 3076:4087 4100:5111 5124:6135 6148:7159 7172:8183 8196:9207 9220:10231 10244:11255 11268:12279 12292:13303 13316:14327 14340:15351 15364:16375" ht="17.399999999999999">
      <c r="A5" s="2160" t="s">
        <v>1596</v>
      </c>
      <c r="B5" s="2160"/>
      <c r="C5" s="2160"/>
      <c r="D5" s="2160"/>
      <c r="E5" s="2160"/>
      <c r="F5" s="2160"/>
      <c r="G5" s="2160"/>
      <c r="H5" s="2160"/>
      <c r="I5" s="2160"/>
      <c r="J5" s="2160"/>
      <c r="K5" s="2160"/>
      <c r="L5" s="2160"/>
      <c r="M5" s="2160"/>
      <c r="N5" s="2160"/>
      <c r="O5" s="2160"/>
      <c r="P5" s="2160"/>
    </row>
    <row r="7" spans="1:1015 1028:2039 2052:3063 3076:4087 4100:5111 5124:6135 6148:7159 7172:8183 8196:9207 9220:10231 10244:11255 11268:12279 12292:13303 13316:14327 14340:15351 15364:16375" ht="15.75" customHeight="1">
      <c r="A7" s="2162" t="e">
        <f ca="1">IF(AND(F15&gt;(ArcResistance*CTR_PTR),OR(F17&lt;ROUND('10) SOTF'!E10*0.85*1000/(SQRT(3)*'10) SOTF'!E8),2),AND(F17&gt;ROUND('10) SOTF'!E10*0.85*1000/(SQRT(3)*'10) SOTF'!E8),2),F16&gt;LoadabilityLimit)),F18&gt;LoadabilityLimit),"PRC-023-3 Criteria Satisified","PRC-023-3 Criteria Failed")</f>
        <v>#DIV/0!</v>
      </c>
      <c r="B7" s="2162"/>
      <c r="C7" s="2162"/>
      <c r="D7" s="2162"/>
      <c r="E7" s="2162"/>
      <c r="F7" s="2162"/>
      <c r="G7" s="2162"/>
      <c r="H7" s="2162"/>
      <c r="I7" s="2162"/>
      <c r="J7" s="2162"/>
      <c r="K7" s="2162"/>
      <c r="L7" s="2162"/>
      <c r="M7" s="2162"/>
      <c r="N7" s="2162"/>
      <c r="O7" s="2162"/>
      <c r="P7" s="2162"/>
    </row>
    <row r="8" spans="1:1015 1028:2039 2052:3063 3076:4087 4100:5111 5124:6135 6148:7159 7172:8183 8196:9207 9220:10231 10244:11255 11268:12279 12292:13303 13316:14327 14340:15351 15364:16375" ht="15.6">
      <c r="D8" s="722" t="s">
        <v>1597</v>
      </c>
      <c r="E8" t="s">
        <v>365</v>
      </c>
      <c r="F8" s="2158">
        <f>IF(INDEX('1) Data Entry'!S36:S38,MATCH(LoadabilityLimit,'1) Data Entry'!$U$36:$U$38,0),1)=0,INDEX('1) Data Entry'!Q36:Q38,MATCH(LoadabilityLimit,'1) Data Entry'!$U$36:$U$38,0),1),INDEX('1) Data Entry'!S36:S38,MATCH(LoadabilityLimit,'1) Data Entry'!$U$36:$U$38,0),1))</f>
        <v>1.51</v>
      </c>
      <c r="G8" s="2158"/>
    </row>
    <row r="9" spans="1:1015 1028:2039 2052:3063 3076:4087 4100:5111 5124:6135 6148:7159 7172:8183 8196:9207 9220:10231 10244:11255 11268:12279 12292:13303 13316:14327 14340:15351 15364:16375" ht="15.6">
      <c r="D9" s="722" t="s">
        <v>1598</v>
      </c>
      <c r="E9" s="670" t="s">
        <v>365</v>
      </c>
      <c r="F9" s="1409" t="str">
        <f>INDEX('1) Data Entry'!A36:A38,MATCH(LoadabilityLimit,'1) Data Entry'!$U$36:$U$38,0),1)</f>
        <v xml:space="preserve">Conductor Rating </v>
      </c>
      <c r="G9" s="1409"/>
    </row>
    <row r="10" spans="1:1015 1028:2039 2052:3063 3076:4087 4100:5111 5124:6135 6148:7159 7172:8183 8196:9207 9220:10231 10244:11255 11268:12279 12292:13303 13316:14327 14340:15351 15364:16375" ht="15.6">
      <c r="D10" s="722" t="s">
        <v>1599</v>
      </c>
      <c r="E10" s="670" t="s">
        <v>365</v>
      </c>
      <c r="F10" s="2155">
        <f>INDEX('1) Data Entry'!O36:P38,MATCH(LoadabilityLimit,'1) Data Entry'!$U$36:$U$38,0),1)</f>
        <v>1.4</v>
      </c>
      <c r="G10" s="2155"/>
      <c r="H10" s="2161" t="s">
        <v>891</v>
      </c>
      <c r="I10" s="2161"/>
      <c r="J10" s="2161"/>
      <c r="K10" s="2161"/>
      <c r="L10" s="2161"/>
      <c r="M10" s="2161"/>
      <c r="N10" s="2161"/>
      <c r="O10" s="2161"/>
      <c r="P10" s="2161"/>
      <c r="T10" s="103"/>
      <c r="V10" s="2146"/>
      <c r="W10" s="2146"/>
      <c r="AJ10" s="103"/>
      <c r="AL10" s="2146"/>
      <c r="AM10" s="2146"/>
      <c r="AZ10" s="103"/>
      <c r="BB10" s="2146"/>
      <c r="BC10" s="2146"/>
      <c r="BP10" s="103"/>
      <c r="BR10" s="2146"/>
      <c r="BS10" s="2146"/>
      <c r="CF10" s="103"/>
      <c r="CH10" s="2146"/>
      <c r="CI10" s="2146"/>
      <c r="CV10" s="103"/>
      <c r="CX10" s="2146"/>
      <c r="CY10" s="2146"/>
      <c r="DL10" s="103"/>
      <c r="DN10" s="2146"/>
      <c r="DO10" s="2146"/>
      <c r="EB10" s="103"/>
      <c r="ED10" s="2146"/>
      <c r="EE10" s="2146"/>
      <c r="ER10" s="103"/>
      <c r="ET10" s="2146"/>
      <c r="EU10" s="2146"/>
      <c r="FH10" s="103"/>
      <c r="FJ10" s="2146"/>
      <c r="FK10" s="2146"/>
      <c r="FX10" s="103"/>
      <c r="FZ10" s="2146"/>
      <c r="GA10" s="2146"/>
      <c r="GN10" s="103"/>
      <c r="GP10" s="2146"/>
      <c r="GQ10" s="2146"/>
      <c r="HD10" s="103"/>
      <c r="HF10" s="2146"/>
      <c r="HG10" s="2146"/>
      <c r="HT10" s="103"/>
      <c r="HV10" s="2146"/>
      <c r="HW10" s="2146"/>
      <c r="IJ10" s="103"/>
      <c r="IL10" s="2146"/>
      <c r="IM10" s="2146"/>
      <c r="IZ10" s="103"/>
      <c r="JB10" s="2146"/>
      <c r="JC10" s="2146"/>
      <c r="JP10" s="103"/>
      <c r="JR10" s="2146"/>
      <c r="JS10" s="2146"/>
      <c r="KF10" s="103"/>
      <c r="KH10" s="2146"/>
      <c r="KI10" s="2146"/>
      <c r="KV10" s="103"/>
      <c r="KX10" s="2146"/>
      <c r="KY10" s="2146"/>
      <c r="LL10" s="103"/>
      <c r="LN10" s="2146"/>
      <c r="LO10" s="2146"/>
      <c r="MB10" s="103"/>
      <c r="MD10" s="2146"/>
      <c r="ME10" s="2146"/>
      <c r="MR10" s="103"/>
      <c r="MT10" s="2146"/>
      <c r="MU10" s="2146"/>
      <c r="NH10" s="103"/>
      <c r="NJ10" s="2146"/>
      <c r="NK10" s="2146"/>
      <c r="NX10" s="103"/>
      <c r="NZ10" s="2146"/>
      <c r="OA10" s="2146"/>
      <c r="ON10" s="103"/>
      <c r="OP10" s="2146"/>
      <c r="OQ10" s="2146"/>
      <c r="PD10" s="103"/>
      <c r="PF10" s="2146"/>
      <c r="PG10" s="2146"/>
      <c r="PT10" s="103"/>
      <c r="PV10" s="2146"/>
      <c r="PW10" s="2146"/>
      <c r="QJ10" s="103"/>
      <c r="QL10" s="2146"/>
      <c r="QM10" s="2146"/>
      <c r="QZ10" s="103"/>
      <c r="RB10" s="2146"/>
      <c r="RC10" s="2146"/>
      <c r="RP10" s="103"/>
      <c r="RR10" s="2146"/>
      <c r="RS10" s="2146"/>
      <c r="SF10" s="103"/>
      <c r="SH10" s="2146"/>
      <c r="SI10" s="2146"/>
      <c r="SV10" s="103"/>
      <c r="SX10" s="2146"/>
      <c r="SY10" s="2146"/>
      <c r="TL10" s="103"/>
      <c r="TN10" s="2146"/>
      <c r="TO10" s="2146"/>
      <c r="UB10" s="103"/>
      <c r="UD10" s="2146"/>
      <c r="UE10" s="2146"/>
      <c r="UR10" s="103"/>
      <c r="UT10" s="2146"/>
      <c r="UU10" s="2146"/>
      <c r="VH10" s="103"/>
      <c r="VJ10" s="2146"/>
      <c r="VK10" s="2146"/>
      <c r="VX10" s="103"/>
      <c r="VZ10" s="2146"/>
      <c r="WA10" s="2146"/>
      <c r="WN10" s="103"/>
      <c r="WP10" s="2146"/>
      <c r="WQ10" s="2146"/>
      <c r="XD10" s="103"/>
      <c r="XF10" s="2146"/>
      <c r="XG10" s="2146"/>
      <c r="XT10" s="103"/>
      <c r="XV10" s="2146"/>
      <c r="XW10" s="2146"/>
      <c r="YJ10" s="103"/>
      <c r="YL10" s="2146"/>
      <c r="YM10" s="2146"/>
      <c r="YZ10" s="103"/>
      <c r="ZB10" s="2146"/>
      <c r="ZC10" s="2146"/>
      <c r="ZP10" s="103"/>
      <c r="ZR10" s="2146"/>
      <c r="ZS10" s="2146"/>
      <c r="AAF10" s="103"/>
      <c r="AAH10" s="2146"/>
      <c r="AAI10" s="2146"/>
      <c r="AAV10" s="103"/>
      <c r="AAX10" s="2146"/>
      <c r="AAY10" s="2146"/>
      <c r="ABL10" s="103"/>
      <c r="ABN10" s="2146"/>
      <c r="ABO10" s="2146"/>
      <c r="ACB10" s="103"/>
      <c r="ACD10" s="2146"/>
      <c r="ACE10" s="2146"/>
      <c r="ACR10" s="103"/>
      <c r="ACT10" s="2146"/>
      <c r="ACU10" s="2146"/>
      <c r="ADH10" s="103"/>
      <c r="ADJ10" s="2146"/>
      <c r="ADK10" s="2146"/>
      <c r="ADX10" s="103"/>
      <c r="ADZ10" s="2146"/>
      <c r="AEA10" s="2146"/>
      <c r="AEN10" s="103"/>
      <c r="AEP10" s="2146"/>
      <c r="AEQ10" s="2146"/>
      <c r="AFD10" s="103"/>
      <c r="AFF10" s="2146"/>
      <c r="AFG10" s="2146"/>
      <c r="AFT10" s="103"/>
      <c r="AFV10" s="2146"/>
      <c r="AFW10" s="2146"/>
      <c r="AGJ10" s="103"/>
      <c r="AGL10" s="2146"/>
      <c r="AGM10" s="2146"/>
      <c r="AGZ10" s="103"/>
      <c r="AHB10" s="2146"/>
      <c r="AHC10" s="2146"/>
      <c r="AHP10" s="103"/>
      <c r="AHR10" s="2146"/>
      <c r="AHS10" s="2146"/>
      <c r="AIF10" s="103"/>
      <c r="AIH10" s="2146"/>
      <c r="AII10" s="2146"/>
      <c r="AIV10" s="103"/>
      <c r="AIX10" s="2146"/>
      <c r="AIY10" s="2146"/>
      <c r="AJL10" s="103"/>
      <c r="AJN10" s="2146"/>
      <c r="AJO10" s="2146"/>
      <c r="AKB10" s="103"/>
      <c r="AKD10" s="2146"/>
      <c r="AKE10" s="2146"/>
      <c r="AKR10" s="103"/>
      <c r="AKT10" s="2146"/>
      <c r="AKU10" s="2146"/>
      <c r="ALH10" s="103"/>
      <c r="ALJ10" s="2146"/>
      <c r="ALK10" s="2146"/>
      <c r="ALX10" s="103"/>
      <c r="ALZ10" s="2146"/>
      <c r="AMA10" s="2146"/>
      <c r="AMN10" s="103"/>
      <c r="AMP10" s="2146"/>
      <c r="AMQ10" s="2146"/>
      <c r="AND10" s="103"/>
      <c r="ANF10" s="2146"/>
      <c r="ANG10" s="2146"/>
      <c r="ANT10" s="103"/>
      <c r="ANV10" s="2146"/>
      <c r="ANW10" s="2146"/>
      <c r="AOJ10" s="103"/>
      <c r="AOL10" s="2146"/>
      <c r="AOM10" s="2146"/>
      <c r="AOZ10" s="103"/>
      <c r="APB10" s="2146"/>
      <c r="APC10" s="2146"/>
      <c r="APP10" s="103"/>
      <c r="APR10" s="2146"/>
      <c r="APS10" s="2146"/>
      <c r="AQF10" s="103"/>
      <c r="AQH10" s="2146"/>
      <c r="AQI10" s="2146"/>
      <c r="AQV10" s="103"/>
      <c r="AQX10" s="2146"/>
      <c r="AQY10" s="2146"/>
      <c r="ARL10" s="103"/>
      <c r="ARN10" s="2146"/>
      <c r="ARO10" s="2146"/>
      <c r="ASB10" s="103"/>
      <c r="ASD10" s="2146"/>
      <c r="ASE10" s="2146"/>
      <c r="ASR10" s="103"/>
      <c r="AST10" s="2146"/>
      <c r="ASU10" s="2146"/>
      <c r="ATH10" s="103"/>
      <c r="ATJ10" s="2146"/>
      <c r="ATK10" s="2146"/>
      <c r="ATX10" s="103"/>
      <c r="ATZ10" s="2146"/>
      <c r="AUA10" s="2146"/>
      <c r="AUN10" s="103"/>
      <c r="AUP10" s="2146"/>
      <c r="AUQ10" s="2146"/>
      <c r="AVD10" s="103"/>
      <c r="AVF10" s="2146"/>
      <c r="AVG10" s="2146"/>
      <c r="AVT10" s="103"/>
      <c r="AVV10" s="2146"/>
      <c r="AVW10" s="2146"/>
      <c r="AWJ10" s="103"/>
      <c r="AWL10" s="2146"/>
      <c r="AWM10" s="2146"/>
      <c r="AWZ10" s="103"/>
      <c r="AXB10" s="2146"/>
      <c r="AXC10" s="2146"/>
      <c r="AXP10" s="103"/>
      <c r="AXR10" s="2146"/>
      <c r="AXS10" s="2146"/>
      <c r="AYF10" s="103"/>
      <c r="AYH10" s="2146"/>
      <c r="AYI10" s="2146"/>
      <c r="AYV10" s="103"/>
      <c r="AYX10" s="2146"/>
      <c r="AYY10" s="2146"/>
      <c r="AZL10" s="103"/>
      <c r="AZN10" s="2146"/>
      <c r="AZO10" s="2146"/>
      <c r="BAB10" s="103"/>
      <c r="BAD10" s="2146"/>
      <c r="BAE10" s="2146"/>
      <c r="BAR10" s="103"/>
      <c r="BAT10" s="2146"/>
      <c r="BAU10" s="2146"/>
      <c r="BBH10" s="103"/>
      <c r="BBJ10" s="2146"/>
      <c r="BBK10" s="2146"/>
      <c r="BBX10" s="103"/>
      <c r="BBZ10" s="2146"/>
      <c r="BCA10" s="2146"/>
      <c r="BCN10" s="103"/>
      <c r="BCP10" s="2146"/>
      <c r="BCQ10" s="2146"/>
      <c r="BDD10" s="103"/>
      <c r="BDF10" s="2146"/>
      <c r="BDG10" s="2146"/>
      <c r="BDT10" s="103"/>
      <c r="BDV10" s="2146"/>
      <c r="BDW10" s="2146"/>
      <c r="BEJ10" s="103"/>
      <c r="BEL10" s="2146"/>
      <c r="BEM10" s="2146"/>
      <c r="BEZ10" s="103"/>
      <c r="BFB10" s="2146"/>
      <c r="BFC10" s="2146"/>
      <c r="BFP10" s="103"/>
      <c r="BFR10" s="2146"/>
      <c r="BFS10" s="2146"/>
      <c r="BGF10" s="103"/>
      <c r="BGH10" s="2146"/>
      <c r="BGI10" s="2146"/>
      <c r="BGV10" s="103"/>
      <c r="BGX10" s="2146"/>
      <c r="BGY10" s="2146"/>
      <c r="BHL10" s="103"/>
      <c r="BHN10" s="2146"/>
      <c r="BHO10" s="2146"/>
      <c r="BIB10" s="103"/>
      <c r="BID10" s="2146"/>
      <c r="BIE10" s="2146"/>
      <c r="BIR10" s="103"/>
      <c r="BIT10" s="2146"/>
      <c r="BIU10" s="2146"/>
      <c r="BJH10" s="103"/>
      <c r="BJJ10" s="2146"/>
      <c r="BJK10" s="2146"/>
      <c r="BJX10" s="103"/>
      <c r="BJZ10" s="2146"/>
      <c r="BKA10" s="2146"/>
      <c r="BKN10" s="103"/>
      <c r="BKP10" s="2146"/>
      <c r="BKQ10" s="2146"/>
      <c r="BLD10" s="103"/>
      <c r="BLF10" s="2146"/>
      <c r="BLG10" s="2146"/>
      <c r="BLT10" s="103"/>
      <c r="BLV10" s="2146"/>
      <c r="BLW10" s="2146"/>
      <c r="BMJ10" s="103"/>
      <c r="BML10" s="2146"/>
      <c r="BMM10" s="2146"/>
      <c r="BMZ10" s="103"/>
      <c r="BNB10" s="2146"/>
      <c r="BNC10" s="2146"/>
      <c r="BNP10" s="103"/>
      <c r="BNR10" s="2146"/>
      <c r="BNS10" s="2146"/>
      <c r="BOF10" s="103"/>
      <c r="BOH10" s="2146"/>
      <c r="BOI10" s="2146"/>
      <c r="BOV10" s="103"/>
      <c r="BOX10" s="2146"/>
      <c r="BOY10" s="2146"/>
      <c r="BPL10" s="103"/>
      <c r="BPN10" s="2146"/>
      <c r="BPO10" s="2146"/>
      <c r="BQB10" s="103"/>
      <c r="BQD10" s="2146"/>
      <c r="BQE10" s="2146"/>
      <c r="BQR10" s="103"/>
      <c r="BQT10" s="2146"/>
      <c r="BQU10" s="2146"/>
      <c r="BRH10" s="103"/>
      <c r="BRJ10" s="2146"/>
      <c r="BRK10" s="2146"/>
      <c r="BRX10" s="103"/>
      <c r="BRZ10" s="2146"/>
      <c r="BSA10" s="2146"/>
      <c r="BSN10" s="103"/>
      <c r="BSP10" s="2146"/>
      <c r="BSQ10" s="2146"/>
      <c r="BTD10" s="103"/>
      <c r="BTF10" s="2146"/>
      <c r="BTG10" s="2146"/>
      <c r="BTT10" s="103"/>
      <c r="BTV10" s="2146"/>
      <c r="BTW10" s="2146"/>
      <c r="BUJ10" s="103"/>
      <c r="BUL10" s="2146"/>
      <c r="BUM10" s="2146"/>
      <c r="BUZ10" s="103"/>
      <c r="BVB10" s="2146"/>
      <c r="BVC10" s="2146"/>
      <c r="BVP10" s="103"/>
      <c r="BVR10" s="2146"/>
      <c r="BVS10" s="2146"/>
      <c r="BWF10" s="103"/>
      <c r="BWH10" s="2146"/>
      <c r="BWI10" s="2146"/>
      <c r="BWV10" s="103"/>
      <c r="BWX10" s="2146"/>
      <c r="BWY10" s="2146"/>
      <c r="BXL10" s="103"/>
      <c r="BXN10" s="2146"/>
      <c r="BXO10" s="2146"/>
      <c r="BYB10" s="103"/>
      <c r="BYD10" s="2146"/>
      <c r="BYE10" s="2146"/>
      <c r="BYR10" s="103"/>
      <c r="BYT10" s="2146"/>
      <c r="BYU10" s="2146"/>
      <c r="BZH10" s="103"/>
      <c r="BZJ10" s="2146"/>
      <c r="BZK10" s="2146"/>
      <c r="BZX10" s="103"/>
      <c r="BZZ10" s="2146"/>
      <c r="CAA10" s="2146"/>
      <c r="CAN10" s="103"/>
      <c r="CAP10" s="2146"/>
      <c r="CAQ10" s="2146"/>
      <c r="CBD10" s="103"/>
      <c r="CBF10" s="2146"/>
      <c r="CBG10" s="2146"/>
      <c r="CBT10" s="103"/>
      <c r="CBV10" s="2146"/>
      <c r="CBW10" s="2146"/>
      <c r="CCJ10" s="103"/>
      <c r="CCL10" s="2146"/>
      <c r="CCM10" s="2146"/>
      <c r="CCZ10" s="103"/>
      <c r="CDB10" s="2146"/>
      <c r="CDC10" s="2146"/>
      <c r="CDP10" s="103"/>
      <c r="CDR10" s="2146"/>
      <c r="CDS10" s="2146"/>
      <c r="CEF10" s="103"/>
      <c r="CEH10" s="2146"/>
      <c r="CEI10" s="2146"/>
      <c r="CEV10" s="103"/>
      <c r="CEX10" s="2146"/>
      <c r="CEY10" s="2146"/>
      <c r="CFL10" s="103"/>
      <c r="CFN10" s="2146"/>
      <c r="CFO10" s="2146"/>
      <c r="CGB10" s="103"/>
      <c r="CGD10" s="2146"/>
      <c r="CGE10" s="2146"/>
      <c r="CGR10" s="103"/>
      <c r="CGT10" s="2146"/>
      <c r="CGU10" s="2146"/>
      <c r="CHH10" s="103"/>
      <c r="CHJ10" s="2146"/>
      <c r="CHK10" s="2146"/>
      <c r="CHX10" s="103"/>
      <c r="CHZ10" s="2146"/>
      <c r="CIA10" s="2146"/>
      <c r="CIN10" s="103"/>
      <c r="CIP10" s="2146"/>
      <c r="CIQ10" s="2146"/>
      <c r="CJD10" s="103"/>
      <c r="CJF10" s="2146"/>
      <c r="CJG10" s="2146"/>
      <c r="CJT10" s="103"/>
      <c r="CJV10" s="2146"/>
      <c r="CJW10" s="2146"/>
      <c r="CKJ10" s="103"/>
      <c r="CKL10" s="2146"/>
      <c r="CKM10" s="2146"/>
      <c r="CKZ10" s="103"/>
      <c r="CLB10" s="2146"/>
      <c r="CLC10" s="2146"/>
      <c r="CLP10" s="103"/>
      <c r="CLR10" s="2146"/>
      <c r="CLS10" s="2146"/>
      <c r="CMF10" s="103"/>
      <c r="CMH10" s="2146"/>
      <c r="CMI10" s="2146"/>
      <c r="CMV10" s="103"/>
      <c r="CMX10" s="2146"/>
      <c r="CMY10" s="2146"/>
      <c r="CNL10" s="103"/>
      <c r="CNN10" s="2146"/>
      <c r="CNO10" s="2146"/>
      <c r="COB10" s="103"/>
      <c r="COD10" s="2146"/>
      <c r="COE10" s="2146"/>
      <c r="COR10" s="103"/>
      <c r="COT10" s="2146"/>
      <c r="COU10" s="2146"/>
      <c r="CPH10" s="103"/>
      <c r="CPJ10" s="2146"/>
      <c r="CPK10" s="2146"/>
      <c r="CPX10" s="103"/>
      <c r="CPZ10" s="2146"/>
      <c r="CQA10" s="2146"/>
      <c r="CQN10" s="103"/>
      <c r="CQP10" s="2146"/>
      <c r="CQQ10" s="2146"/>
      <c r="CRD10" s="103"/>
      <c r="CRF10" s="2146"/>
      <c r="CRG10" s="2146"/>
      <c r="CRT10" s="103"/>
      <c r="CRV10" s="2146"/>
      <c r="CRW10" s="2146"/>
      <c r="CSJ10" s="103"/>
      <c r="CSL10" s="2146"/>
      <c r="CSM10" s="2146"/>
      <c r="CSZ10" s="103"/>
      <c r="CTB10" s="2146"/>
      <c r="CTC10" s="2146"/>
      <c r="CTP10" s="103"/>
      <c r="CTR10" s="2146"/>
      <c r="CTS10" s="2146"/>
      <c r="CUF10" s="103"/>
      <c r="CUH10" s="2146"/>
      <c r="CUI10" s="2146"/>
      <c r="CUV10" s="103"/>
      <c r="CUX10" s="2146"/>
      <c r="CUY10" s="2146"/>
      <c r="CVL10" s="103"/>
      <c r="CVN10" s="2146"/>
      <c r="CVO10" s="2146"/>
      <c r="CWB10" s="103"/>
      <c r="CWD10" s="2146"/>
      <c r="CWE10" s="2146"/>
      <c r="CWR10" s="103"/>
      <c r="CWT10" s="2146"/>
      <c r="CWU10" s="2146"/>
      <c r="CXH10" s="103"/>
      <c r="CXJ10" s="2146"/>
      <c r="CXK10" s="2146"/>
      <c r="CXX10" s="103"/>
      <c r="CXZ10" s="2146"/>
      <c r="CYA10" s="2146"/>
      <c r="CYN10" s="103"/>
      <c r="CYP10" s="2146"/>
      <c r="CYQ10" s="2146"/>
      <c r="CZD10" s="103"/>
      <c r="CZF10" s="2146"/>
      <c r="CZG10" s="2146"/>
      <c r="CZT10" s="103"/>
      <c r="CZV10" s="2146"/>
      <c r="CZW10" s="2146"/>
      <c r="DAJ10" s="103"/>
      <c r="DAL10" s="2146"/>
      <c r="DAM10" s="2146"/>
      <c r="DAZ10" s="103"/>
      <c r="DBB10" s="2146"/>
      <c r="DBC10" s="2146"/>
      <c r="DBP10" s="103"/>
      <c r="DBR10" s="2146"/>
      <c r="DBS10" s="2146"/>
      <c r="DCF10" s="103"/>
      <c r="DCH10" s="2146"/>
      <c r="DCI10" s="2146"/>
      <c r="DCV10" s="103"/>
      <c r="DCX10" s="2146"/>
      <c r="DCY10" s="2146"/>
      <c r="DDL10" s="103"/>
      <c r="DDN10" s="2146"/>
      <c r="DDO10" s="2146"/>
      <c r="DEB10" s="103"/>
      <c r="DED10" s="2146"/>
      <c r="DEE10" s="2146"/>
      <c r="DER10" s="103"/>
      <c r="DET10" s="2146"/>
      <c r="DEU10" s="2146"/>
      <c r="DFH10" s="103"/>
      <c r="DFJ10" s="2146"/>
      <c r="DFK10" s="2146"/>
      <c r="DFX10" s="103"/>
      <c r="DFZ10" s="2146"/>
      <c r="DGA10" s="2146"/>
      <c r="DGN10" s="103"/>
      <c r="DGP10" s="2146"/>
      <c r="DGQ10" s="2146"/>
      <c r="DHD10" s="103"/>
      <c r="DHF10" s="2146"/>
      <c r="DHG10" s="2146"/>
      <c r="DHT10" s="103"/>
      <c r="DHV10" s="2146"/>
      <c r="DHW10" s="2146"/>
      <c r="DIJ10" s="103"/>
      <c r="DIL10" s="2146"/>
      <c r="DIM10" s="2146"/>
      <c r="DIZ10" s="103"/>
      <c r="DJB10" s="2146"/>
      <c r="DJC10" s="2146"/>
      <c r="DJP10" s="103"/>
      <c r="DJR10" s="2146"/>
      <c r="DJS10" s="2146"/>
      <c r="DKF10" s="103"/>
      <c r="DKH10" s="2146"/>
      <c r="DKI10" s="2146"/>
      <c r="DKV10" s="103"/>
      <c r="DKX10" s="2146"/>
      <c r="DKY10" s="2146"/>
      <c r="DLL10" s="103"/>
      <c r="DLN10" s="2146"/>
      <c r="DLO10" s="2146"/>
      <c r="DMB10" s="103"/>
      <c r="DMD10" s="2146"/>
      <c r="DME10" s="2146"/>
      <c r="DMR10" s="103"/>
      <c r="DMT10" s="2146"/>
      <c r="DMU10" s="2146"/>
      <c r="DNH10" s="103"/>
      <c r="DNJ10" s="2146"/>
      <c r="DNK10" s="2146"/>
      <c r="DNX10" s="103"/>
      <c r="DNZ10" s="2146"/>
      <c r="DOA10" s="2146"/>
      <c r="DON10" s="103"/>
      <c r="DOP10" s="2146"/>
      <c r="DOQ10" s="2146"/>
      <c r="DPD10" s="103"/>
      <c r="DPF10" s="2146"/>
      <c r="DPG10" s="2146"/>
      <c r="DPT10" s="103"/>
      <c r="DPV10" s="2146"/>
      <c r="DPW10" s="2146"/>
      <c r="DQJ10" s="103"/>
      <c r="DQL10" s="2146"/>
      <c r="DQM10" s="2146"/>
      <c r="DQZ10" s="103"/>
      <c r="DRB10" s="2146"/>
      <c r="DRC10" s="2146"/>
      <c r="DRP10" s="103"/>
      <c r="DRR10" s="2146"/>
      <c r="DRS10" s="2146"/>
      <c r="DSF10" s="103"/>
      <c r="DSH10" s="2146"/>
      <c r="DSI10" s="2146"/>
      <c r="DSV10" s="103"/>
      <c r="DSX10" s="2146"/>
      <c r="DSY10" s="2146"/>
      <c r="DTL10" s="103"/>
      <c r="DTN10" s="2146"/>
      <c r="DTO10" s="2146"/>
      <c r="DUB10" s="103"/>
      <c r="DUD10" s="2146"/>
      <c r="DUE10" s="2146"/>
      <c r="DUR10" s="103"/>
      <c r="DUT10" s="2146"/>
      <c r="DUU10" s="2146"/>
      <c r="DVH10" s="103"/>
      <c r="DVJ10" s="2146"/>
      <c r="DVK10" s="2146"/>
      <c r="DVX10" s="103"/>
      <c r="DVZ10" s="2146"/>
      <c r="DWA10" s="2146"/>
      <c r="DWN10" s="103"/>
      <c r="DWP10" s="2146"/>
      <c r="DWQ10" s="2146"/>
      <c r="DXD10" s="103"/>
      <c r="DXF10" s="2146"/>
      <c r="DXG10" s="2146"/>
      <c r="DXT10" s="103"/>
      <c r="DXV10" s="2146"/>
      <c r="DXW10" s="2146"/>
      <c r="DYJ10" s="103"/>
      <c r="DYL10" s="2146"/>
      <c r="DYM10" s="2146"/>
      <c r="DYZ10" s="103"/>
      <c r="DZB10" s="2146"/>
      <c r="DZC10" s="2146"/>
      <c r="DZP10" s="103"/>
      <c r="DZR10" s="2146"/>
      <c r="DZS10" s="2146"/>
      <c r="EAF10" s="103"/>
      <c r="EAH10" s="2146"/>
      <c r="EAI10" s="2146"/>
      <c r="EAV10" s="103"/>
      <c r="EAX10" s="2146"/>
      <c r="EAY10" s="2146"/>
      <c r="EBL10" s="103"/>
      <c r="EBN10" s="2146"/>
      <c r="EBO10" s="2146"/>
      <c r="ECB10" s="103"/>
      <c r="ECD10" s="2146"/>
      <c r="ECE10" s="2146"/>
      <c r="ECR10" s="103"/>
      <c r="ECT10" s="2146"/>
      <c r="ECU10" s="2146"/>
      <c r="EDH10" s="103"/>
      <c r="EDJ10" s="2146"/>
      <c r="EDK10" s="2146"/>
      <c r="EDX10" s="103"/>
      <c r="EDZ10" s="2146"/>
      <c r="EEA10" s="2146"/>
      <c r="EEN10" s="103"/>
      <c r="EEP10" s="2146"/>
      <c r="EEQ10" s="2146"/>
      <c r="EFD10" s="103"/>
      <c r="EFF10" s="2146"/>
      <c r="EFG10" s="2146"/>
      <c r="EFT10" s="103"/>
      <c r="EFV10" s="2146"/>
      <c r="EFW10" s="2146"/>
      <c r="EGJ10" s="103"/>
      <c r="EGL10" s="2146"/>
      <c r="EGM10" s="2146"/>
      <c r="EGZ10" s="103"/>
      <c r="EHB10" s="2146"/>
      <c r="EHC10" s="2146"/>
      <c r="EHP10" s="103"/>
      <c r="EHR10" s="2146"/>
      <c r="EHS10" s="2146"/>
      <c r="EIF10" s="103"/>
      <c r="EIH10" s="2146"/>
      <c r="EII10" s="2146"/>
      <c r="EIV10" s="103"/>
      <c r="EIX10" s="2146"/>
      <c r="EIY10" s="2146"/>
      <c r="EJL10" s="103"/>
      <c r="EJN10" s="2146"/>
      <c r="EJO10" s="2146"/>
      <c r="EKB10" s="103"/>
      <c r="EKD10" s="2146"/>
      <c r="EKE10" s="2146"/>
      <c r="EKR10" s="103"/>
      <c r="EKT10" s="2146"/>
      <c r="EKU10" s="2146"/>
      <c r="ELH10" s="103"/>
      <c r="ELJ10" s="2146"/>
      <c r="ELK10" s="2146"/>
      <c r="ELX10" s="103"/>
      <c r="ELZ10" s="2146"/>
      <c r="EMA10" s="2146"/>
      <c r="EMN10" s="103"/>
      <c r="EMP10" s="2146"/>
      <c r="EMQ10" s="2146"/>
      <c r="END10" s="103"/>
      <c r="ENF10" s="2146"/>
      <c r="ENG10" s="2146"/>
      <c r="ENT10" s="103"/>
      <c r="ENV10" s="2146"/>
      <c r="ENW10" s="2146"/>
      <c r="EOJ10" s="103"/>
      <c r="EOL10" s="2146"/>
      <c r="EOM10" s="2146"/>
      <c r="EOZ10" s="103"/>
      <c r="EPB10" s="2146"/>
      <c r="EPC10" s="2146"/>
      <c r="EPP10" s="103"/>
      <c r="EPR10" s="2146"/>
      <c r="EPS10" s="2146"/>
      <c r="EQF10" s="103"/>
      <c r="EQH10" s="2146"/>
      <c r="EQI10" s="2146"/>
      <c r="EQV10" s="103"/>
      <c r="EQX10" s="2146"/>
      <c r="EQY10" s="2146"/>
      <c r="ERL10" s="103"/>
      <c r="ERN10" s="2146"/>
      <c r="ERO10" s="2146"/>
      <c r="ESB10" s="103"/>
      <c r="ESD10" s="2146"/>
      <c r="ESE10" s="2146"/>
      <c r="ESR10" s="103"/>
      <c r="EST10" s="2146"/>
      <c r="ESU10" s="2146"/>
      <c r="ETH10" s="103"/>
      <c r="ETJ10" s="2146"/>
      <c r="ETK10" s="2146"/>
      <c r="ETX10" s="103"/>
      <c r="ETZ10" s="2146"/>
      <c r="EUA10" s="2146"/>
      <c r="EUN10" s="103"/>
      <c r="EUP10" s="2146"/>
      <c r="EUQ10" s="2146"/>
      <c r="EVD10" s="103"/>
      <c r="EVF10" s="2146"/>
      <c r="EVG10" s="2146"/>
      <c r="EVT10" s="103"/>
      <c r="EVV10" s="2146"/>
      <c r="EVW10" s="2146"/>
      <c r="EWJ10" s="103"/>
      <c r="EWL10" s="2146"/>
      <c r="EWM10" s="2146"/>
      <c r="EWZ10" s="103"/>
      <c r="EXB10" s="2146"/>
      <c r="EXC10" s="2146"/>
      <c r="EXP10" s="103"/>
      <c r="EXR10" s="2146"/>
      <c r="EXS10" s="2146"/>
      <c r="EYF10" s="103"/>
      <c r="EYH10" s="2146"/>
      <c r="EYI10" s="2146"/>
      <c r="EYV10" s="103"/>
      <c r="EYX10" s="2146"/>
      <c r="EYY10" s="2146"/>
      <c r="EZL10" s="103"/>
      <c r="EZN10" s="2146"/>
      <c r="EZO10" s="2146"/>
      <c r="FAB10" s="103"/>
      <c r="FAD10" s="2146"/>
      <c r="FAE10" s="2146"/>
      <c r="FAR10" s="103"/>
      <c r="FAT10" s="2146"/>
      <c r="FAU10" s="2146"/>
      <c r="FBH10" s="103"/>
      <c r="FBJ10" s="2146"/>
      <c r="FBK10" s="2146"/>
      <c r="FBX10" s="103"/>
      <c r="FBZ10" s="2146"/>
      <c r="FCA10" s="2146"/>
      <c r="FCN10" s="103"/>
      <c r="FCP10" s="2146"/>
      <c r="FCQ10" s="2146"/>
      <c r="FDD10" s="103"/>
      <c r="FDF10" s="2146"/>
      <c r="FDG10" s="2146"/>
      <c r="FDT10" s="103"/>
      <c r="FDV10" s="2146"/>
      <c r="FDW10" s="2146"/>
      <c r="FEJ10" s="103"/>
      <c r="FEL10" s="2146"/>
      <c r="FEM10" s="2146"/>
      <c r="FEZ10" s="103"/>
      <c r="FFB10" s="2146"/>
      <c r="FFC10" s="2146"/>
      <c r="FFP10" s="103"/>
      <c r="FFR10" s="2146"/>
      <c r="FFS10" s="2146"/>
      <c r="FGF10" s="103"/>
      <c r="FGH10" s="2146"/>
      <c r="FGI10" s="2146"/>
      <c r="FGV10" s="103"/>
      <c r="FGX10" s="2146"/>
      <c r="FGY10" s="2146"/>
      <c r="FHL10" s="103"/>
      <c r="FHN10" s="2146"/>
      <c r="FHO10" s="2146"/>
      <c r="FIB10" s="103"/>
      <c r="FID10" s="2146"/>
      <c r="FIE10" s="2146"/>
      <c r="FIR10" s="103"/>
      <c r="FIT10" s="2146"/>
      <c r="FIU10" s="2146"/>
      <c r="FJH10" s="103"/>
      <c r="FJJ10" s="2146"/>
      <c r="FJK10" s="2146"/>
      <c r="FJX10" s="103"/>
      <c r="FJZ10" s="2146"/>
      <c r="FKA10" s="2146"/>
      <c r="FKN10" s="103"/>
      <c r="FKP10" s="2146"/>
      <c r="FKQ10" s="2146"/>
      <c r="FLD10" s="103"/>
      <c r="FLF10" s="2146"/>
      <c r="FLG10" s="2146"/>
      <c r="FLT10" s="103"/>
      <c r="FLV10" s="2146"/>
      <c r="FLW10" s="2146"/>
      <c r="FMJ10" s="103"/>
      <c r="FML10" s="2146"/>
      <c r="FMM10" s="2146"/>
      <c r="FMZ10" s="103"/>
      <c r="FNB10" s="2146"/>
      <c r="FNC10" s="2146"/>
      <c r="FNP10" s="103"/>
      <c r="FNR10" s="2146"/>
      <c r="FNS10" s="2146"/>
      <c r="FOF10" s="103"/>
      <c r="FOH10" s="2146"/>
      <c r="FOI10" s="2146"/>
      <c r="FOV10" s="103"/>
      <c r="FOX10" s="2146"/>
      <c r="FOY10" s="2146"/>
      <c r="FPL10" s="103"/>
      <c r="FPN10" s="2146"/>
      <c r="FPO10" s="2146"/>
      <c r="FQB10" s="103"/>
      <c r="FQD10" s="2146"/>
      <c r="FQE10" s="2146"/>
      <c r="FQR10" s="103"/>
      <c r="FQT10" s="2146"/>
      <c r="FQU10" s="2146"/>
      <c r="FRH10" s="103"/>
      <c r="FRJ10" s="2146"/>
      <c r="FRK10" s="2146"/>
      <c r="FRX10" s="103"/>
      <c r="FRZ10" s="2146"/>
      <c r="FSA10" s="2146"/>
      <c r="FSN10" s="103"/>
      <c r="FSP10" s="2146"/>
      <c r="FSQ10" s="2146"/>
      <c r="FTD10" s="103"/>
      <c r="FTF10" s="2146"/>
      <c r="FTG10" s="2146"/>
      <c r="FTT10" s="103"/>
      <c r="FTV10" s="2146"/>
      <c r="FTW10" s="2146"/>
      <c r="FUJ10" s="103"/>
      <c r="FUL10" s="2146"/>
      <c r="FUM10" s="2146"/>
      <c r="FUZ10" s="103"/>
      <c r="FVB10" s="2146"/>
      <c r="FVC10" s="2146"/>
      <c r="FVP10" s="103"/>
      <c r="FVR10" s="2146"/>
      <c r="FVS10" s="2146"/>
      <c r="FWF10" s="103"/>
      <c r="FWH10" s="2146"/>
      <c r="FWI10" s="2146"/>
      <c r="FWV10" s="103"/>
      <c r="FWX10" s="2146"/>
      <c r="FWY10" s="2146"/>
      <c r="FXL10" s="103"/>
      <c r="FXN10" s="2146"/>
      <c r="FXO10" s="2146"/>
      <c r="FYB10" s="103"/>
      <c r="FYD10" s="2146"/>
      <c r="FYE10" s="2146"/>
      <c r="FYR10" s="103"/>
      <c r="FYT10" s="2146"/>
      <c r="FYU10" s="2146"/>
      <c r="FZH10" s="103"/>
      <c r="FZJ10" s="2146"/>
      <c r="FZK10" s="2146"/>
      <c r="FZX10" s="103"/>
      <c r="FZZ10" s="2146"/>
      <c r="GAA10" s="2146"/>
      <c r="GAN10" s="103"/>
      <c r="GAP10" s="2146"/>
      <c r="GAQ10" s="2146"/>
      <c r="GBD10" s="103"/>
      <c r="GBF10" s="2146"/>
      <c r="GBG10" s="2146"/>
      <c r="GBT10" s="103"/>
      <c r="GBV10" s="2146"/>
      <c r="GBW10" s="2146"/>
      <c r="GCJ10" s="103"/>
      <c r="GCL10" s="2146"/>
      <c r="GCM10" s="2146"/>
      <c r="GCZ10" s="103"/>
      <c r="GDB10" s="2146"/>
      <c r="GDC10" s="2146"/>
      <c r="GDP10" s="103"/>
      <c r="GDR10" s="2146"/>
      <c r="GDS10" s="2146"/>
      <c r="GEF10" s="103"/>
      <c r="GEH10" s="2146"/>
      <c r="GEI10" s="2146"/>
      <c r="GEV10" s="103"/>
      <c r="GEX10" s="2146"/>
      <c r="GEY10" s="2146"/>
      <c r="GFL10" s="103"/>
      <c r="GFN10" s="2146"/>
      <c r="GFO10" s="2146"/>
      <c r="GGB10" s="103"/>
      <c r="GGD10" s="2146"/>
      <c r="GGE10" s="2146"/>
      <c r="GGR10" s="103"/>
      <c r="GGT10" s="2146"/>
      <c r="GGU10" s="2146"/>
      <c r="GHH10" s="103"/>
      <c r="GHJ10" s="2146"/>
      <c r="GHK10" s="2146"/>
      <c r="GHX10" s="103"/>
      <c r="GHZ10" s="2146"/>
      <c r="GIA10" s="2146"/>
      <c r="GIN10" s="103"/>
      <c r="GIP10" s="2146"/>
      <c r="GIQ10" s="2146"/>
      <c r="GJD10" s="103"/>
      <c r="GJF10" s="2146"/>
      <c r="GJG10" s="2146"/>
      <c r="GJT10" s="103"/>
      <c r="GJV10" s="2146"/>
      <c r="GJW10" s="2146"/>
      <c r="GKJ10" s="103"/>
      <c r="GKL10" s="2146"/>
      <c r="GKM10" s="2146"/>
      <c r="GKZ10" s="103"/>
      <c r="GLB10" s="2146"/>
      <c r="GLC10" s="2146"/>
      <c r="GLP10" s="103"/>
      <c r="GLR10" s="2146"/>
      <c r="GLS10" s="2146"/>
      <c r="GMF10" s="103"/>
      <c r="GMH10" s="2146"/>
      <c r="GMI10" s="2146"/>
      <c r="GMV10" s="103"/>
      <c r="GMX10" s="2146"/>
      <c r="GMY10" s="2146"/>
      <c r="GNL10" s="103"/>
      <c r="GNN10" s="2146"/>
      <c r="GNO10" s="2146"/>
      <c r="GOB10" s="103"/>
      <c r="GOD10" s="2146"/>
      <c r="GOE10" s="2146"/>
      <c r="GOR10" s="103"/>
      <c r="GOT10" s="2146"/>
      <c r="GOU10" s="2146"/>
      <c r="GPH10" s="103"/>
      <c r="GPJ10" s="2146"/>
      <c r="GPK10" s="2146"/>
      <c r="GPX10" s="103"/>
      <c r="GPZ10" s="2146"/>
      <c r="GQA10" s="2146"/>
      <c r="GQN10" s="103"/>
      <c r="GQP10" s="2146"/>
      <c r="GQQ10" s="2146"/>
      <c r="GRD10" s="103"/>
      <c r="GRF10" s="2146"/>
      <c r="GRG10" s="2146"/>
      <c r="GRT10" s="103"/>
      <c r="GRV10" s="2146"/>
      <c r="GRW10" s="2146"/>
      <c r="GSJ10" s="103"/>
      <c r="GSL10" s="2146"/>
      <c r="GSM10" s="2146"/>
      <c r="GSZ10" s="103"/>
      <c r="GTB10" s="2146"/>
      <c r="GTC10" s="2146"/>
      <c r="GTP10" s="103"/>
      <c r="GTR10" s="2146"/>
      <c r="GTS10" s="2146"/>
      <c r="GUF10" s="103"/>
      <c r="GUH10" s="2146"/>
      <c r="GUI10" s="2146"/>
      <c r="GUV10" s="103"/>
      <c r="GUX10" s="2146"/>
      <c r="GUY10" s="2146"/>
      <c r="GVL10" s="103"/>
      <c r="GVN10" s="2146"/>
      <c r="GVO10" s="2146"/>
      <c r="GWB10" s="103"/>
      <c r="GWD10" s="2146"/>
      <c r="GWE10" s="2146"/>
      <c r="GWR10" s="103"/>
      <c r="GWT10" s="2146"/>
      <c r="GWU10" s="2146"/>
      <c r="GXH10" s="103"/>
      <c r="GXJ10" s="2146"/>
      <c r="GXK10" s="2146"/>
      <c r="GXX10" s="103"/>
      <c r="GXZ10" s="2146"/>
      <c r="GYA10" s="2146"/>
      <c r="GYN10" s="103"/>
      <c r="GYP10" s="2146"/>
      <c r="GYQ10" s="2146"/>
      <c r="GZD10" s="103"/>
      <c r="GZF10" s="2146"/>
      <c r="GZG10" s="2146"/>
      <c r="GZT10" s="103"/>
      <c r="GZV10" s="2146"/>
      <c r="GZW10" s="2146"/>
      <c r="HAJ10" s="103"/>
      <c r="HAL10" s="2146"/>
      <c r="HAM10" s="2146"/>
      <c r="HAZ10" s="103"/>
      <c r="HBB10" s="2146"/>
      <c r="HBC10" s="2146"/>
      <c r="HBP10" s="103"/>
      <c r="HBR10" s="2146"/>
      <c r="HBS10" s="2146"/>
      <c r="HCF10" s="103"/>
      <c r="HCH10" s="2146"/>
      <c r="HCI10" s="2146"/>
      <c r="HCV10" s="103"/>
      <c r="HCX10" s="2146"/>
      <c r="HCY10" s="2146"/>
      <c r="HDL10" s="103"/>
      <c r="HDN10" s="2146"/>
      <c r="HDO10" s="2146"/>
      <c r="HEB10" s="103"/>
      <c r="HED10" s="2146"/>
      <c r="HEE10" s="2146"/>
      <c r="HER10" s="103"/>
      <c r="HET10" s="2146"/>
      <c r="HEU10" s="2146"/>
      <c r="HFH10" s="103"/>
      <c r="HFJ10" s="2146"/>
      <c r="HFK10" s="2146"/>
      <c r="HFX10" s="103"/>
      <c r="HFZ10" s="2146"/>
      <c r="HGA10" s="2146"/>
      <c r="HGN10" s="103"/>
      <c r="HGP10" s="2146"/>
      <c r="HGQ10" s="2146"/>
      <c r="HHD10" s="103"/>
      <c r="HHF10" s="2146"/>
      <c r="HHG10" s="2146"/>
      <c r="HHT10" s="103"/>
      <c r="HHV10" s="2146"/>
      <c r="HHW10" s="2146"/>
      <c r="HIJ10" s="103"/>
      <c r="HIL10" s="2146"/>
      <c r="HIM10" s="2146"/>
      <c r="HIZ10" s="103"/>
      <c r="HJB10" s="2146"/>
      <c r="HJC10" s="2146"/>
      <c r="HJP10" s="103"/>
      <c r="HJR10" s="2146"/>
      <c r="HJS10" s="2146"/>
      <c r="HKF10" s="103"/>
      <c r="HKH10" s="2146"/>
      <c r="HKI10" s="2146"/>
      <c r="HKV10" s="103"/>
      <c r="HKX10" s="2146"/>
      <c r="HKY10" s="2146"/>
      <c r="HLL10" s="103"/>
      <c r="HLN10" s="2146"/>
      <c r="HLO10" s="2146"/>
      <c r="HMB10" s="103"/>
      <c r="HMD10" s="2146"/>
      <c r="HME10" s="2146"/>
      <c r="HMR10" s="103"/>
      <c r="HMT10" s="2146"/>
      <c r="HMU10" s="2146"/>
      <c r="HNH10" s="103"/>
      <c r="HNJ10" s="2146"/>
      <c r="HNK10" s="2146"/>
      <c r="HNX10" s="103"/>
      <c r="HNZ10" s="2146"/>
      <c r="HOA10" s="2146"/>
      <c r="HON10" s="103"/>
      <c r="HOP10" s="2146"/>
      <c r="HOQ10" s="2146"/>
      <c r="HPD10" s="103"/>
      <c r="HPF10" s="2146"/>
      <c r="HPG10" s="2146"/>
      <c r="HPT10" s="103"/>
      <c r="HPV10" s="2146"/>
      <c r="HPW10" s="2146"/>
      <c r="HQJ10" s="103"/>
      <c r="HQL10" s="2146"/>
      <c r="HQM10" s="2146"/>
      <c r="HQZ10" s="103"/>
      <c r="HRB10" s="2146"/>
      <c r="HRC10" s="2146"/>
      <c r="HRP10" s="103"/>
      <c r="HRR10" s="2146"/>
      <c r="HRS10" s="2146"/>
      <c r="HSF10" s="103"/>
      <c r="HSH10" s="2146"/>
      <c r="HSI10" s="2146"/>
      <c r="HSV10" s="103"/>
      <c r="HSX10" s="2146"/>
      <c r="HSY10" s="2146"/>
      <c r="HTL10" s="103"/>
      <c r="HTN10" s="2146"/>
      <c r="HTO10" s="2146"/>
      <c r="HUB10" s="103"/>
      <c r="HUD10" s="2146"/>
      <c r="HUE10" s="2146"/>
      <c r="HUR10" s="103"/>
      <c r="HUT10" s="2146"/>
      <c r="HUU10" s="2146"/>
      <c r="HVH10" s="103"/>
      <c r="HVJ10" s="2146"/>
      <c r="HVK10" s="2146"/>
      <c r="HVX10" s="103"/>
      <c r="HVZ10" s="2146"/>
      <c r="HWA10" s="2146"/>
      <c r="HWN10" s="103"/>
      <c r="HWP10" s="2146"/>
      <c r="HWQ10" s="2146"/>
      <c r="HXD10" s="103"/>
      <c r="HXF10" s="2146"/>
      <c r="HXG10" s="2146"/>
      <c r="HXT10" s="103"/>
      <c r="HXV10" s="2146"/>
      <c r="HXW10" s="2146"/>
      <c r="HYJ10" s="103"/>
      <c r="HYL10" s="2146"/>
      <c r="HYM10" s="2146"/>
      <c r="HYZ10" s="103"/>
      <c r="HZB10" s="2146"/>
      <c r="HZC10" s="2146"/>
      <c r="HZP10" s="103"/>
      <c r="HZR10" s="2146"/>
      <c r="HZS10" s="2146"/>
      <c r="IAF10" s="103"/>
      <c r="IAH10" s="2146"/>
      <c r="IAI10" s="2146"/>
      <c r="IAV10" s="103"/>
      <c r="IAX10" s="2146"/>
      <c r="IAY10" s="2146"/>
      <c r="IBL10" s="103"/>
      <c r="IBN10" s="2146"/>
      <c r="IBO10" s="2146"/>
      <c r="ICB10" s="103"/>
      <c r="ICD10" s="2146"/>
      <c r="ICE10" s="2146"/>
      <c r="ICR10" s="103"/>
      <c r="ICT10" s="2146"/>
      <c r="ICU10" s="2146"/>
      <c r="IDH10" s="103"/>
      <c r="IDJ10" s="2146"/>
      <c r="IDK10" s="2146"/>
      <c r="IDX10" s="103"/>
      <c r="IDZ10" s="2146"/>
      <c r="IEA10" s="2146"/>
      <c r="IEN10" s="103"/>
      <c r="IEP10" s="2146"/>
      <c r="IEQ10" s="2146"/>
      <c r="IFD10" s="103"/>
      <c r="IFF10" s="2146"/>
      <c r="IFG10" s="2146"/>
      <c r="IFT10" s="103"/>
      <c r="IFV10" s="2146"/>
      <c r="IFW10" s="2146"/>
      <c r="IGJ10" s="103"/>
      <c r="IGL10" s="2146"/>
      <c r="IGM10" s="2146"/>
      <c r="IGZ10" s="103"/>
      <c r="IHB10" s="2146"/>
      <c r="IHC10" s="2146"/>
      <c r="IHP10" s="103"/>
      <c r="IHR10" s="2146"/>
      <c r="IHS10" s="2146"/>
      <c r="IIF10" s="103"/>
      <c r="IIH10" s="2146"/>
      <c r="III10" s="2146"/>
      <c r="IIV10" s="103"/>
      <c r="IIX10" s="2146"/>
      <c r="IIY10" s="2146"/>
      <c r="IJL10" s="103"/>
      <c r="IJN10" s="2146"/>
      <c r="IJO10" s="2146"/>
      <c r="IKB10" s="103"/>
      <c r="IKD10" s="2146"/>
      <c r="IKE10" s="2146"/>
      <c r="IKR10" s="103"/>
      <c r="IKT10" s="2146"/>
      <c r="IKU10" s="2146"/>
      <c r="ILH10" s="103"/>
      <c r="ILJ10" s="2146"/>
      <c r="ILK10" s="2146"/>
      <c r="ILX10" s="103"/>
      <c r="ILZ10" s="2146"/>
      <c r="IMA10" s="2146"/>
      <c r="IMN10" s="103"/>
      <c r="IMP10" s="2146"/>
      <c r="IMQ10" s="2146"/>
      <c r="IND10" s="103"/>
      <c r="INF10" s="2146"/>
      <c r="ING10" s="2146"/>
      <c r="INT10" s="103"/>
      <c r="INV10" s="2146"/>
      <c r="INW10" s="2146"/>
      <c r="IOJ10" s="103"/>
      <c r="IOL10" s="2146"/>
      <c r="IOM10" s="2146"/>
      <c r="IOZ10" s="103"/>
      <c r="IPB10" s="2146"/>
      <c r="IPC10" s="2146"/>
      <c r="IPP10" s="103"/>
      <c r="IPR10" s="2146"/>
      <c r="IPS10" s="2146"/>
      <c r="IQF10" s="103"/>
      <c r="IQH10" s="2146"/>
      <c r="IQI10" s="2146"/>
      <c r="IQV10" s="103"/>
      <c r="IQX10" s="2146"/>
      <c r="IQY10" s="2146"/>
      <c r="IRL10" s="103"/>
      <c r="IRN10" s="2146"/>
      <c r="IRO10" s="2146"/>
      <c r="ISB10" s="103"/>
      <c r="ISD10" s="2146"/>
      <c r="ISE10" s="2146"/>
      <c r="ISR10" s="103"/>
      <c r="IST10" s="2146"/>
      <c r="ISU10" s="2146"/>
      <c r="ITH10" s="103"/>
      <c r="ITJ10" s="2146"/>
      <c r="ITK10" s="2146"/>
      <c r="ITX10" s="103"/>
      <c r="ITZ10" s="2146"/>
      <c r="IUA10" s="2146"/>
      <c r="IUN10" s="103"/>
      <c r="IUP10" s="2146"/>
      <c r="IUQ10" s="2146"/>
      <c r="IVD10" s="103"/>
      <c r="IVF10" s="2146"/>
      <c r="IVG10" s="2146"/>
      <c r="IVT10" s="103"/>
      <c r="IVV10" s="2146"/>
      <c r="IVW10" s="2146"/>
      <c r="IWJ10" s="103"/>
      <c r="IWL10" s="2146"/>
      <c r="IWM10" s="2146"/>
      <c r="IWZ10" s="103"/>
      <c r="IXB10" s="2146"/>
      <c r="IXC10" s="2146"/>
      <c r="IXP10" s="103"/>
      <c r="IXR10" s="2146"/>
      <c r="IXS10" s="2146"/>
      <c r="IYF10" s="103"/>
      <c r="IYH10" s="2146"/>
      <c r="IYI10" s="2146"/>
      <c r="IYV10" s="103"/>
      <c r="IYX10" s="2146"/>
      <c r="IYY10" s="2146"/>
      <c r="IZL10" s="103"/>
      <c r="IZN10" s="2146"/>
      <c r="IZO10" s="2146"/>
      <c r="JAB10" s="103"/>
      <c r="JAD10" s="2146"/>
      <c r="JAE10" s="2146"/>
      <c r="JAR10" s="103"/>
      <c r="JAT10" s="2146"/>
      <c r="JAU10" s="2146"/>
      <c r="JBH10" s="103"/>
      <c r="JBJ10" s="2146"/>
      <c r="JBK10" s="2146"/>
      <c r="JBX10" s="103"/>
      <c r="JBZ10" s="2146"/>
      <c r="JCA10" s="2146"/>
      <c r="JCN10" s="103"/>
      <c r="JCP10" s="2146"/>
      <c r="JCQ10" s="2146"/>
      <c r="JDD10" s="103"/>
      <c r="JDF10" s="2146"/>
      <c r="JDG10" s="2146"/>
      <c r="JDT10" s="103"/>
      <c r="JDV10" s="2146"/>
      <c r="JDW10" s="2146"/>
      <c r="JEJ10" s="103"/>
      <c r="JEL10" s="2146"/>
      <c r="JEM10" s="2146"/>
      <c r="JEZ10" s="103"/>
      <c r="JFB10" s="2146"/>
      <c r="JFC10" s="2146"/>
      <c r="JFP10" s="103"/>
      <c r="JFR10" s="2146"/>
      <c r="JFS10" s="2146"/>
      <c r="JGF10" s="103"/>
      <c r="JGH10" s="2146"/>
      <c r="JGI10" s="2146"/>
      <c r="JGV10" s="103"/>
      <c r="JGX10" s="2146"/>
      <c r="JGY10" s="2146"/>
      <c r="JHL10" s="103"/>
      <c r="JHN10" s="2146"/>
      <c r="JHO10" s="2146"/>
      <c r="JIB10" s="103"/>
      <c r="JID10" s="2146"/>
      <c r="JIE10" s="2146"/>
      <c r="JIR10" s="103"/>
      <c r="JIT10" s="2146"/>
      <c r="JIU10" s="2146"/>
      <c r="JJH10" s="103"/>
      <c r="JJJ10" s="2146"/>
      <c r="JJK10" s="2146"/>
      <c r="JJX10" s="103"/>
      <c r="JJZ10" s="2146"/>
      <c r="JKA10" s="2146"/>
      <c r="JKN10" s="103"/>
      <c r="JKP10" s="2146"/>
      <c r="JKQ10" s="2146"/>
      <c r="JLD10" s="103"/>
      <c r="JLF10" s="2146"/>
      <c r="JLG10" s="2146"/>
      <c r="JLT10" s="103"/>
      <c r="JLV10" s="2146"/>
      <c r="JLW10" s="2146"/>
      <c r="JMJ10" s="103"/>
      <c r="JML10" s="2146"/>
      <c r="JMM10" s="2146"/>
      <c r="JMZ10" s="103"/>
      <c r="JNB10" s="2146"/>
      <c r="JNC10" s="2146"/>
      <c r="JNP10" s="103"/>
      <c r="JNR10" s="2146"/>
      <c r="JNS10" s="2146"/>
      <c r="JOF10" s="103"/>
      <c r="JOH10" s="2146"/>
      <c r="JOI10" s="2146"/>
      <c r="JOV10" s="103"/>
      <c r="JOX10" s="2146"/>
      <c r="JOY10" s="2146"/>
      <c r="JPL10" s="103"/>
      <c r="JPN10" s="2146"/>
      <c r="JPO10" s="2146"/>
      <c r="JQB10" s="103"/>
      <c r="JQD10" s="2146"/>
      <c r="JQE10" s="2146"/>
      <c r="JQR10" s="103"/>
      <c r="JQT10" s="2146"/>
      <c r="JQU10" s="2146"/>
      <c r="JRH10" s="103"/>
      <c r="JRJ10" s="2146"/>
      <c r="JRK10" s="2146"/>
      <c r="JRX10" s="103"/>
      <c r="JRZ10" s="2146"/>
      <c r="JSA10" s="2146"/>
      <c r="JSN10" s="103"/>
      <c r="JSP10" s="2146"/>
      <c r="JSQ10" s="2146"/>
      <c r="JTD10" s="103"/>
      <c r="JTF10" s="2146"/>
      <c r="JTG10" s="2146"/>
      <c r="JTT10" s="103"/>
      <c r="JTV10" s="2146"/>
      <c r="JTW10" s="2146"/>
      <c r="JUJ10" s="103"/>
      <c r="JUL10" s="2146"/>
      <c r="JUM10" s="2146"/>
      <c r="JUZ10" s="103"/>
      <c r="JVB10" s="2146"/>
      <c r="JVC10" s="2146"/>
      <c r="JVP10" s="103"/>
      <c r="JVR10" s="2146"/>
      <c r="JVS10" s="2146"/>
      <c r="JWF10" s="103"/>
      <c r="JWH10" s="2146"/>
      <c r="JWI10" s="2146"/>
      <c r="JWV10" s="103"/>
      <c r="JWX10" s="2146"/>
      <c r="JWY10" s="2146"/>
      <c r="JXL10" s="103"/>
      <c r="JXN10" s="2146"/>
      <c r="JXO10" s="2146"/>
      <c r="JYB10" s="103"/>
      <c r="JYD10" s="2146"/>
      <c r="JYE10" s="2146"/>
      <c r="JYR10" s="103"/>
      <c r="JYT10" s="2146"/>
      <c r="JYU10" s="2146"/>
      <c r="JZH10" s="103"/>
      <c r="JZJ10" s="2146"/>
      <c r="JZK10" s="2146"/>
      <c r="JZX10" s="103"/>
      <c r="JZZ10" s="2146"/>
      <c r="KAA10" s="2146"/>
      <c r="KAN10" s="103"/>
      <c r="KAP10" s="2146"/>
      <c r="KAQ10" s="2146"/>
      <c r="KBD10" s="103"/>
      <c r="KBF10" s="2146"/>
      <c r="KBG10" s="2146"/>
      <c r="KBT10" s="103"/>
      <c r="KBV10" s="2146"/>
      <c r="KBW10" s="2146"/>
      <c r="KCJ10" s="103"/>
      <c r="KCL10" s="2146"/>
      <c r="KCM10" s="2146"/>
      <c r="KCZ10" s="103"/>
      <c r="KDB10" s="2146"/>
      <c r="KDC10" s="2146"/>
      <c r="KDP10" s="103"/>
      <c r="KDR10" s="2146"/>
      <c r="KDS10" s="2146"/>
      <c r="KEF10" s="103"/>
      <c r="KEH10" s="2146"/>
      <c r="KEI10" s="2146"/>
      <c r="KEV10" s="103"/>
      <c r="KEX10" s="2146"/>
      <c r="KEY10" s="2146"/>
      <c r="KFL10" s="103"/>
      <c r="KFN10" s="2146"/>
      <c r="KFO10" s="2146"/>
      <c r="KGB10" s="103"/>
      <c r="KGD10" s="2146"/>
      <c r="KGE10" s="2146"/>
      <c r="KGR10" s="103"/>
      <c r="KGT10" s="2146"/>
      <c r="KGU10" s="2146"/>
      <c r="KHH10" s="103"/>
      <c r="KHJ10" s="2146"/>
      <c r="KHK10" s="2146"/>
      <c r="KHX10" s="103"/>
      <c r="KHZ10" s="2146"/>
      <c r="KIA10" s="2146"/>
      <c r="KIN10" s="103"/>
      <c r="KIP10" s="2146"/>
      <c r="KIQ10" s="2146"/>
      <c r="KJD10" s="103"/>
      <c r="KJF10" s="2146"/>
      <c r="KJG10" s="2146"/>
      <c r="KJT10" s="103"/>
      <c r="KJV10" s="2146"/>
      <c r="KJW10" s="2146"/>
      <c r="KKJ10" s="103"/>
      <c r="KKL10" s="2146"/>
      <c r="KKM10" s="2146"/>
      <c r="KKZ10" s="103"/>
      <c r="KLB10" s="2146"/>
      <c r="KLC10" s="2146"/>
      <c r="KLP10" s="103"/>
      <c r="KLR10" s="2146"/>
      <c r="KLS10" s="2146"/>
      <c r="KMF10" s="103"/>
      <c r="KMH10" s="2146"/>
      <c r="KMI10" s="2146"/>
      <c r="KMV10" s="103"/>
      <c r="KMX10" s="2146"/>
      <c r="KMY10" s="2146"/>
      <c r="KNL10" s="103"/>
      <c r="KNN10" s="2146"/>
      <c r="KNO10" s="2146"/>
      <c r="KOB10" s="103"/>
      <c r="KOD10" s="2146"/>
      <c r="KOE10" s="2146"/>
      <c r="KOR10" s="103"/>
      <c r="KOT10" s="2146"/>
      <c r="KOU10" s="2146"/>
      <c r="KPH10" s="103"/>
      <c r="KPJ10" s="2146"/>
      <c r="KPK10" s="2146"/>
      <c r="KPX10" s="103"/>
      <c r="KPZ10" s="2146"/>
      <c r="KQA10" s="2146"/>
      <c r="KQN10" s="103"/>
      <c r="KQP10" s="2146"/>
      <c r="KQQ10" s="2146"/>
      <c r="KRD10" s="103"/>
      <c r="KRF10" s="2146"/>
      <c r="KRG10" s="2146"/>
      <c r="KRT10" s="103"/>
      <c r="KRV10" s="2146"/>
      <c r="KRW10" s="2146"/>
      <c r="KSJ10" s="103"/>
      <c r="KSL10" s="2146"/>
      <c r="KSM10" s="2146"/>
      <c r="KSZ10" s="103"/>
      <c r="KTB10" s="2146"/>
      <c r="KTC10" s="2146"/>
      <c r="KTP10" s="103"/>
      <c r="KTR10" s="2146"/>
      <c r="KTS10" s="2146"/>
      <c r="KUF10" s="103"/>
      <c r="KUH10" s="2146"/>
      <c r="KUI10" s="2146"/>
      <c r="KUV10" s="103"/>
      <c r="KUX10" s="2146"/>
      <c r="KUY10" s="2146"/>
      <c r="KVL10" s="103"/>
      <c r="KVN10" s="2146"/>
      <c r="KVO10" s="2146"/>
      <c r="KWB10" s="103"/>
      <c r="KWD10" s="2146"/>
      <c r="KWE10" s="2146"/>
      <c r="KWR10" s="103"/>
      <c r="KWT10" s="2146"/>
      <c r="KWU10" s="2146"/>
      <c r="KXH10" s="103"/>
      <c r="KXJ10" s="2146"/>
      <c r="KXK10" s="2146"/>
      <c r="KXX10" s="103"/>
      <c r="KXZ10" s="2146"/>
      <c r="KYA10" s="2146"/>
      <c r="KYN10" s="103"/>
      <c r="KYP10" s="2146"/>
      <c r="KYQ10" s="2146"/>
      <c r="KZD10" s="103"/>
      <c r="KZF10" s="2146"/>
      <c r="KZG10" s="2146"/>
      <c r="KZT10" s="103"/>
      <c r="KZV10" s="2146"/>
      <c r="KZW10" s="2146"/>
      <c r="LAJ10" s="103"/>
      <c r="LAL10" s="2146"/>
      <c r="LAM10" s="2146"/>
      <c r="LAZ10" s="103"/>
      <c r="LBB10" s="2146"/>
      <c r="LBC10" s="2146"/>
      <c r="LBP10" s="103"/>
      <c r="LBR10" s="2146"/>
      <c r="LBS10" s="2146"/>
      <c r="LCF10" s="103"/>
      <c r="LCH10" s="2146"/>
      <c r="LCI10" s="2146"/>
      <c r="LCV10" s="103"/>
      <c r="LCX10" s="2146"/>
      <c r="LCY10" s="2146"/>
      <c r="LDL10" s="103"/>
      <c r="LDN10" s="2146"/>
      <c r="LDO10" s="2146"/>
      <c r="LEB10" s="103"/>
      <c r="LED10" s="2146"/>
      <c r="LEE10" s="2146"/>
      <c r="LER10" s="103"/>
      <c r="LET10" s="2146"/>
      <c r="LEU10" s="2146"/>
      <c r="LFH10" s="103"/>
      <c r="LFJ10" s="2146"/>
      <c r="LFK10" s="2146"/>
      <c r="LFX10" s="103"/>
      <c r="LFZ10" s="2146"/>
      <c r="LGA10" s="2146"/>
      <c r="LGN10" s="103"/>
      <c r="LGP10" s="2146"/>
      <c r="LGQ10" s="2146"/>
      <c r="LHD10" s="103"/>
      <c r="LHF10" s="2146"/>
      <c r="LHG10" s="2146"/>
      <c r="LHT10" s="103"/>
      <c r="LHV10" s="2146"/>
      <c r="LHW10" s="2146"/>
      <c r="LIJ10" s="103"/>
      <c r="LIL10" s="2146"/>
      <c r="LIM10" s="2146"/>
      <c r="LIZ10" s="103"/>
      <c r="LJB10" s="2146"/>
      <c r="LJC10" s="2146"/>
      <c r="LJP10" s="103"/>
      <c r="LJR10" s="2146"/>
      <c r="LJS10" s="2146"/>
      <c r="LKF10" s="103"/>
      <c r="LKH10" s="2146"/>
      <c r="LKI10" s="2146"/>
      <c r="LKV10" s="103"/>
      <c r="LKX10" s="2146"/>
      <c r="LKY10" s="2146"/>
      <c r="LLL10" s="103"/>
      <c r="LLN10" s="2146"/>
      <c r="LLO10" s="2146"/>
      <c r="LMB10" s="103"/>
      <c r="LMD10" s="2146"/>
      <c r="LME10" s="2146"/>
      <c r="LMR10" s="103"/>
      <c r="LMT10" s="2146"/>
      <c r="LMU10" s="2146"/>
      <c r="LNH10" s="103"/>
      <c r="LNJ10" s="2146"/>
      <c r="LNK10" s="2146"/>
      <c r="LNX10" s="103"/>
      <c r="LNZ10" s="2146"/>
      <c r="LOA10" s="2146"/>
      <c r="LON10" s="103"/>
      <c r="LOP10" s="2146"/>
      <c r="LOQ10" s="2146"/>
      <c r="LPD10" s="103"/>
      <c r="LPF10" s="2146"/>
      <c r="LPG10" s="2146"/>
      <c r="LPT10" s="103"/>
      <c r="LPV10" s="2146"/>
      <c r="LPW10" s="2146"/>
      <c r="LQJ10" s="103"/>
      <c r="LQL10" s="2146"/>
      <c r="LQM10" s="2146"/>
      <c r="LQZ10" s="103"/>
      <c r="LRB10" s="2146"/>
      <c r="LRC10" s="2146"/>
      <c r="LRP10" s="103"/>
      <c r="LRR10" s="2146"/>
      <c r="LRS10" s="2146"/>
      <c r="LSF10" s="103"/>
      <c r="LSH10" s="2146"/>
      <c r="LSI10" s="2146"/>
      <c r="LSV10" s="103"/>
      <c r="LSX10" s="2146"/>
      <c r="LSY10" s="2146"/>
      <c r="LTL10" s="103"/>
      <c r="LTN10" s="2146"/>
      <c r="LTO10" s="2146"/>
      <c r="LUB10" s="103"/>
      <c r="LUD10" s="2146"/>
      <c r="LUE10" s="2146"/>
      <c r="LUR10" s="103"/>
      <c r="LUT10" s="2146"/>
      <c r="LUU10" s="2146"/>
      <c r="LVH10" s="103"/>
      <c r="LVJ10" s="2146"/>
      <c r="LVK10" s="2146"/>
      <c r="LVX10" s="103"/>
      <c r="LVZ10" s="2146"/>
      <c r="LWA10" s="2146"/>
      <c r="LWN10" s="103"/>
      <c r="LWP10" s="2146"/>
      <c r="LWQ10" s="2146"/>
      <c r="LXD10" s="103"/>
      <c r="LXF10" s="2146"/>
      <c r="LXG10" s="2146"/>
      <c r="LXT10" s="103"/>
      <c r="LXV10" s="2146"/>
      <c r="LXW10" s="2146"/>
      <c r="LYJ10" s="103"/>
      <c r="LYL10" s="2146"/>
      <c r="LYM10" s="2146"/>
      <c r="LYZ10" s="103"/>
      <c r="LZB10" s="2146"/>
      <c r="LZC10" s="2146"/>
      <c r="LZP10" s="103"/>
      <c r="LZR10" s="2146"/>
      <c r="LZS10" s="2146"/>
      <c r="MAF10" s="103"/>
      <c r="MAH10" s="2146"/>
      <c r="MAI10" s="2146"/>
      <c r="MAV10" s="103"/>
      <c r="MAX10" s="2146"/>
      <c r="MAY10" s="2146"/>
      <c r="MBL10" s="103"/>
      <c r="MBN10" s="2146"/>
      <c r="MBO10" s="2146"/>
      <c r="MCB10" s="103"/>
      <c r="MCD10" s="2146"/>
      <c r="MCE10" s="2146"/>
      <c r="MCR10" s="103"/>
      <c r="MCT10" s="2146"/>
      <c r="MCU10" s="2146"/>
      <c r="MDH10" s="103"/>
      <c r="MDJ10" s="2146"/>
      <c r="MDK10" s="2146"/>
      <c r="MDX10" s="103"/>
      <c r="MDZ10" s="2146"/>
      <c r="MEA10" s="2146"/>
      <c r="MEN10" s="103"/>
      <c r="MEP10" s="2146"/>
      <c r="MEQ10" s="2146"/>
      <c r="MFD10" s="103"/>
      <c r="MFF10" s="2146"/>
      <c r="MFG10" s="2146"/>
      <c r="MFT10" s="103"/>
      <c r="MFV10" s="2146"/>
      <c r="MFW10" s="2146"/>
      <c r="MGJ10" s="103"/>
      <c r="MGL10" s="2146"/>
      <c r="MGM10" s="2146"/>
      <c r="MGZ10" s="103"/>
      <c r="MHB10" s="2146"/>
      <c r="MHC10" s="2146"/>
      <c r="MHP10" s="103"/>
      <c r="MHR10" s="2146"/>
      <c r="MHS10" s="2146"/>
      <c r="MIF10" s="103"/>
      <c r="MIH10" s="2146"/>
      <c r="MII10" s="2146"/>
      <c r="MIV10" s="103"/>
      <c r="MIX10" s="2146"/>
      <c r="MIY10" s="2146"/>
      <c r="MJL10" s="103"/>
      <c r="MJN10" s="2146"/>
      <c r="MJO10" s="2146"/>
      <c r="MKB10" s="103"/>
      <c r="MKD10" s="2146"/>
      <c r="MKE10" s="2146"/>
      <c r="MKR10" s="103"/>
      <c r="MKT10" s="2146"/>
      <c r="MKU10" s="2146"/>
      <c r="MLH10" s="103"/>
      <c r="MLJ10" s="2146"/>
      <c r="MLK10" s="2146"/>
      <c r="MLX10" s="103"/>
      <c r="MLZ10" s="2146"/>
      <c r="MMA10" s="2146"/>
      <c r="MMN10" s="103"/>
      <c r="MMP10" s="2146"/>
      <c r="MMQ10" s="2146"/>
      <c r="MND10" s="103"/>
      <c r="MNF10" s="2146"/>
      <c r="MNG10" s="2146"/>
      <c r="MNT10" s="103"/>
      <c r="MNV10" s="2146"/>
      <c r="MNW10" s="2146"/>
      <c r="MOJ10" s="103"/>
      <c r="MOL10" s="2146"/>
      <c r="MOM10" s="2146"/>
      <c r="MOZ10" s="103"/>
      <c r="MPB10" s="2146"/>
      <c r="MPC10" s="2146"/>
      <c r="MPP10" s="103"/>
      <c r="MPR10" s="2146"/>
      <c r="MPS10" s="2146"/>
      <c r="MQF10" s="103"/>
      <c r="MQH10" s="2146"/>
      <c r="MQI10" s="2146"/>
      <c r="MQV10" s="103"/>
      <c r="MQX10" s="2146"/>
      <c r="MQY10" s="2146"/>
      <c r="MRL10" s="103"/>
      <c r="MRN10" s="2146"/>
      <c r="MRO10" s="2146"/>
      <c r="MSB10" s="103"/>
      <c r="MSD10" s="2146"/>
      <c r="MSE10" s="2146"/>
      <c r="MSR10" s="103"/>
      <c r="MST10" s="2146"/>
      <c r="MSU10" s="2146"/>
      <c r="MTH10" s="103"/>
      <c r="MTJ10" s="2146"/>
      <c r="MTK10" s="2146"/>
      <c r="MTX10" s="103"/>
      <c r="MTZ10" s="2146"/>
      <c r="MUA10" s="2146"/>
      <c r="MUN10" s="103"/>
      <c r="MUP10" s="2146"/>
      <c r="MUQ10" s="2146"/>
      <c r="MVD10" s="103"/>
      <c r="MVF10" s="2146"/>
      <c r="MVG10" s="2146"/>
      <c r="MVT10" s="103"/>
      <c r="MVV10" s="2146"/>
      <c r="MVW10" s="2146"/>
      <c r="MWJ10" s="103"/>
      <c r="MWL10" s="2146"/>
      <c r="MWM10" s="2146"/>
      <c r="MWZ10" s="103"/>
      <c r="MXB10" s="2146"/>
      <c r="MXC10" s="2146"/>
      <c r="MXP10" s="103"/>
      <c r="MXR10" s="2146"/>
      <c r="MXS10" s="2146"/>
      <c r="MYF10" s="103"/>
      <c r="MYH10" s="2146"/>
      <c r="MYI10" s="2146"/>
      <c r="MYV10" s="103"/>
      <c r="MYX10" s="2146"/>
      <c r="MYY10" s="2146"/>
      <c r="MZL10" s="103"/>
      <c r="MZN10" s="2146"/>
      <c r="MZO10" s="2146"/>
      <c r="NAB10" s="103"/>
      <c r="NAD10" s="2146"/>
      <c r="NAE10" s="2146"/>
      <c r="NAR10" s="103"/>
      <c r="NAT10" s="2146"/>
      <c r="NAU10" s="2146"/>
      <c r="NBH10" s="103"/>
      <c r="NBJ10" s="2146"/>
      <c r="NBK10" s="2146"/>
      <c r="NBX10" s="103"/>
      <c r="NBZ10" s="2146"/>
      <c r="NCA10" s="2146"/>
      <c r="NCN10" s="103"/>
      <c r="NCP10" s="2146"/>
      <c r="NCQ10" s="2146"/>
      <c r="NDD10" s="103"/>
      <c r="NDF10" s="2146"/>
      <c r="NDG10" s="2146"/>
      <c r="NDT10" s="103"/>
      <c r="NDV10" s="2146"/>
      <c r="NDW10" s="2146"/>
      <c r="NEJ10" s="103"/>
      <c r="NEL10" s="2146"/>
      <c r="NEM10" s="2146"/>
      <c r="NEZ10" s="103"/>
      <c r="NFB10" s="2146"/>
      <c r="NFC10" s="2146"/>
      <c r="NFP10" s="103"/>
      <c r="NFR10" s="2146"/>
      <c r="NFS10" s="2146"/>
      <c r="NGF10" s="103"/>
      <c r="NGH10" s="2146"/>
      <c r="NGI10" s="2146"/>
      <c r="NGV10" s="103"/>
      <c r="NGX10" s="2146"/>
      <c r="NGY10" s="2146"/>
      <c r="NHL10" s="103"/>
      <c r="NHN10" s="2146"/>
      <c r="NHO10" s="2146"/>
      <c r="NIB10" s="103"/>
      <c r="NID10" s="2146"/>
      <c r="NIE10" s="2146"/>
      <c r="NIR10" s="103"/>
      <c r="NIT10" s="2146"/>
      <c r="NIU10" s="2146"/>
      <c r="NJH10" s="103"/>
      <c r="NJJ10" s="2146"/>
      <c r="NJK10" s="2146"/>
      <c r="NJX10" s="103"/>
      <c r="NJZ10" s="2146"/>
      <c r="NKA10" s="2146"/>
      <c r="NKN10" s="103"/>
      <c r="NKP10" s="2146"/>
      <c r="NKQ10" s="2146"/>
      <c r="NLD10" s="103"/>
      <c r="NLF10" s="2146"/>
      <c r="NLG10" s="2146"/>
      <c r="NLT10" s="103"/>
      <c r="NLV10" s="2146"/>
      <c r="NLW10" s="2146"/>
      <c r="NMJ10" s="103"/>
      <c r="NML10" s="2146"/>
      <c r="NMM10" s="2146"/>
      <c r="NMZ10" s="103"/>
      <c r="NNB10" s="2146"/>
      <c r="NNC10" s="2146"/>
      <c r="NNP10" s="103"/>
      <c r="NNR10" s="2146"/>
      <c r="NNS10" s="2146"/>
      <c r="NOF10" s="103"/>
      <c r="NOH10" s="2146"/>
      <c r="NOI10" s="2146"/>
      <c r="NOV10" s="103"/>
      <c r="NOX10" s="2146"/>
      <c r="NOY10" s="2146"/>
      <c r="NPL10" s="103"/>
      <c r="NPN10" s="2146"/>
      <c r="NPO10" s="2146"/>
      <c r="NQB10" s="103"/>
      <c r="NQD10" s="2146"/>
      <c r="NQE10" s="2146"/>
      <c r="NQR10" s="103"/>
      <c r="NQT10" s="2146"/>
      <c r="NQU10" s="2146"/>
      <c r="NRH10" s="103"/>
      <c r="NRJ10" s="2146"/>
      <c r="NRK10" s="2146"/>
      <c r="NRX10" s="103"/>
      <c r="NRZ10" s="2146"/>
      <c r="NSA10" s="2146"/>
      <c r="NSN10" s="103"/>
      <c r="NSP10" s="2146"/>
      <c r="NSQ10" s="2146"/>
      <c r="NTD10" s="103"/>
      <c r="NTF10" s="2146"/>
      <c r="NTG10" s="2146"/>
      <c r="NTT10" s="103"/>
      <c r="NTV10" s="2146"/>
      <c r="NTW10" s="2146"/>
      <c r="NUJ10" s="103"/>
      <c r="NUL10" s="2146"/>
      <c r="NUM10" s="2146"/>
      <c r="NUZ10" s="103"/>
      <c r="NVB10" s="2146"/>
      <c r="NVC10" s="2146"/>
      <c r="NVP10" s="103"/>
      <c r="NVR10" s="2146"/>
      <c r="NVS10" s="2146"/>
      <c r="NWF10" s="103"/>
      <c r="NWH10" s="2146"/>
      <c r="NWI10" s="2146"/>
      <c r="NWV10" s="103"/>
      <c r="NWX10" s="2146"/>
      <c r="NWY10" s="2146"/>
      <c r="NXL10" s="103"/>
      <c r="NXN10" s="2146"/>
      <c r="NXO10" s="2146"/>
      <c r="NYB10" s="103"/>
      <c r="NYD10" s="2146"/>
      <c r="NYE10" s="2146"/>
      <c r="NYR10" s="103"/>
      <c r="NYT10" s="2146"/>
      <c r="NYU10" s="2146"/>
      <c r="NZH10" s="103"/>
      <c r="NZJ10" s="2146"/>
      <c r="NZK10" s="2146"/>
      <c r="NZX10" s="103"/>
      <c r="NZZ10" s="2146"/>
      <c r="OAA10" s="2146"/>
      <c r="OAN10" s="103"/>
      <c r="OAP10" s="2146"/>
      <c r="OAQ10" s="2146"/>
      <c r="OBD10" s="103"/>
      <c r="OBF10" s="2146"/>
      <c r="OBG10" s="2146"/>
      <c r="OBT10" s="103"/>
      <c r="OBV10" s="2146"/>
      <c r="OBW10" s="2146"/>
      <c r="OCJ10" s="103"/>
      <c r="OCL10" s="2146"/>
      <c r="OCM10" s="2146"/>
      <c r="OCZ10" s="103"/>
      <c r="ODB10" s="2146"/>
      <c r="ODC10" s="2146"/>
      <c r="ODP10" s="103"/>
      <c r="ODR10" s="2146"/>
      <c r="ODS10" s="2146"/>
      <c r="OEF10" s="103"/>
      <c r="OEH10" s="2146"/>
      <c r="OEI10" s="2146"/>
      <c r="OEV10" s="103"/>
      <c r="OEX10" s="2146"/>
      <c r="OEY10" s="2146"/>
      <c r="OFL10" s="103"/>
      <c r="OFN10" s="2146"/>
      <c r="OFO10" s="2146"/>
      <c r="OGB10" s="103"/>
      <c r="OGD10" s="2146"/>
      <c r="OGE10" s="2146"/>
      <c r="OGR10" s="103"/>
      <c r="OGT10" s="2146"/>
      <c r="OGU10" s="2146"/>
      <c r="OHH10" s="103"/>
      <c r="OHJ10" s="2146"/>
      <c r="OHK10" s="2146"/>
      <c r="OHX10" s="103"/>
      <c r="OHZ10" s="2146"/>
      <c r="OIA10" s="2146"/>
      <c r="OIN10" s="103"/>
      <c r="OIP10" s="2146"/>
      <c r="OIQ10" s="2146"/>
      <c r="OJD10" s="103"/>
      <c r="OJF10" s="2146"/>
      <c r="OJG10" s="2146"/>
      <c r="OJT10" s="103"/>
      <c r="OJV10" s="2146"/>
      <c r="OJW10" s="2146"/>
      <c r="OKJ10" s="103"/>
      <c r="OKL10" s="2146"/>
      <c r="OKM10" s="2146"/>
      <c r="OKZ10" s="103"/>
      <c r="OLB10" s="2146"/>
      <c r="OLC10" s="2146"/>
      <c r="OLP10" s="103"/>
      <c r="OLR10" s="2146"/>
      <c r="OLS10" s="2146"/>
      <c r="OMF10" s="103"/>
      <c r="OMH10" s="2146"/>
      <c r="OMI10" s="2146"/>
      <c r="OMV10" s="103"/>
      <c r="OMX10" s="2146"/>
      <c r="OMY10" s="2146"/>
      <c r="ONL10" s="103"/>
      <c r="ONN10" s="2146"/>
      <c r="ONO10" s="2146"/>
      <c r="OOB10" s="103"/>
      <c r="OOD10" s="2146"/>
      <c r="OOE10" s="2146"/>
      <c r="OOR10" s="103"/>
      <c r="OOT10" s="2146"/>
      <c r="OOU10" s="2146"/>
      <c r="OPH10" s="103"/>
      <c r="OPJ10" s="2146"/>
      <c r="OPK10" s="2146"/>
      <c r="OPX10" s="103"/>
      <c r="OPZ10" s="2146"/>
      <c r="OQA10" s="2146"/>
      <c r="OQN10" s="103"/>
      <c r="OQP10" s="2146"/>
      <c r="OQQ10" s="2146"/>
      <c r="ORD10" s="103"/>
      <c r="ORF10" s="2146"/>
      <c r="ORG10" s="2146"/>
      <c r="ORT10" s="103"/>
      <c r="ORV10" s="2146"/>
      <c r="ORW10" s="2146"/>
      <c r="OSJ10" s="103"/>
      <c r="OSL10" s="2146"/>
      <c r="OSM10" s="2146"/>
      <c r="OSZ10" s="103"/>
      <c r="OTB10" s="2146"/>
      <c r="OTC10" s="2146"/>
      <c r="OTP10" s="103"/>
      <c r="OTR10" s="2146"/>
      <c r="OTS10" s="2146"/>
      <c r="OUF10" s="103"/>
      <c r="OUH10" s="2146"/>
      <c r="OUI10" s="2146"/>
      <c r="OUV10" s="103"/>
      <c r="OUX10" s="2146"/>
      <c r="OUY10" s="2146"/>
      <c r="OVL10" s="103"/>
      <c r="OVN10" s="2146"/>
      <c r="OVO10" s="2146"/>
      <c r="OWB10" s="103"/>
      <c r="OWD10" s="2146"/>
      <c r="OWE10" s="2146"/>
      <c r="OWR10" s="103"/>
      <c r="OWT10" s="2146"/>
      <c r="OWU10" s="2146"/>
      <c r="OXH10" s="103"/>
      <c r="OXJ10" s="2146"/>
      <c r="OXK10" s="2146"/>
      <c r="OXX10" s="103"/>
      <c r="OXZ10" s="2146"/>
      <c r="OYA10" s="2146"/>
      <c r="OYN10" s="103"/>
      <c r="OYP10" s="2146"/>
      <c r="OYQ10" s="2146"/>
      <c r="OZD10" s="103"/>
      <c r="OZF10" s="2146"/>
      <c r="OZG10" s="2146"/>
      <c r="OZT10" s="103"/>
      <c r="OZV10" s="2146"/>
      <c r="OZW10" s="2146"/>
      <c r="PAJ10" s="103"/>
      <c r="PAL10" s="2146"/>
      <c r="PAM10" s="2146"/>
      <c r="PAZ10" s="103"/>
      <c r="PBB10" s="2146"/>
      <c r="PBC10" s="2146"/>
      <c r="PBP10" s="103"/>
      <c r="PBR10" s="2146"/>
      <c r="PBS10" s="2146"/>
      <c r="PCF10" s="103"/>
      <c r="PCH10" s="2146"/>
      <c r="PCI10" s="2146"/>
      <c r="PCV10" s="103"/>
      <c r="PCX10" s="2146"/>
      <c r="PCY10" s="2146"/>
      <c r="PDL10" s="103"/>
      <c r="PDN10" s="2146"/>
      <c r="PDO10" s="2146"/>
      <c r="PEB10" s="103"/>
      <c r="PED10" s="2146"/>
      <c r="PEE10" s="2146"/>
      <c r="PER10" s="103"/>
      <c r="PET10" s="2146"/>
      <c r="PEU10" s="2146"/>
      <c r="PFH10" s="103"/>
      <c r="PFJ10" s="2146"/>
      <c r="PFK10" s="2146"/>
      <c r="PFX10" s="103"/>
      <c r="PFZ10" s="2146"/>
      <c r="PGA10" s="2146"/>
      <c r="PGN10" s="103"/>
      <c r="PGP10" s="2146"/>
      <c r="PGQ10" s="2146"/>
      <c r="PHD10" s="103"/>
      <c r="PHF10" s="2146"/>
      <c r="PHG10" s="2146"/>
      <c r="PHT10" s="103"/>
      <c r="PHV10" s="2146"/>
      <c r="PHW10" s="2146"/>
      <c r="PIJ10" s="103"/>
      <c r="PIL10" s="2146"/>
      <c r="PIM10" s="2146"/>
      <c r="PIZ10" s="103"/>
      <c r="PJB10" s="2146"/>
      <c r="PJC10" s="2146"/>
      <c r="PJP10" s="103"/>
      <c r="PJR10" s="2146"/>
      <c r="PJS10" s="2146"/>
      <c r="PKF10" s="103"/>
      <c r="PKH10" s="2146"/>
      <c r="PKI10" s="2146"/>
      <c r="PKV10" s="103"/>
      <c r="PKX10" s="2146"/>
      <c r="PKY10" s="2146"/>
      <c r="PLL10" s="103"/>
      <c r="PLN10" s="2146"/>
      <c r="PLO10" s="2146"/>
      <c r="PMB10" s="103"/>
      <c r="PMD10" s="2146"/>
      <c r="PME10" s="2146"/>
      <c r="PMR10" s="103"/>
      <c r="PMT10" s="2146"/>
      <c r="PMU10" s="2146"/>
      <c r="PNH10" s="103"/>
      <c r="PNJ10" s="2146"/>
      <c r="PNK10" s="2146"/>
      <c r="PNX10" s="103"/>
      <c r="PNZ10" s="2146"/>
      <c r="POA10" s="2146"/>
      <c r="PON10" s="103"/>
      <c r="POP10" s="2146"/>
      <c r="POQ10" s="2146"/>
      <c r="PPD10" s="103"/>
      <c r="PPF10" s="2146"/>
      <c r="PPG10" s="2146"/>
      <c r="PPT10" s="103"/>
      <c r="PPV10" s="2146"/>
      <c r="PPW10" s="2146"/>
      <c r="PQJ10" s="103"/>
      <c r="PQL10" s="2146"/>
      <c r="PQM10" s="2146"/>
      <c r="PQZ10" s="103"/>
      <c r="PRB10" s="2146"/>
      <c r="PRC10" s="2146"/>
      <c r="PRP10" s="103"/>
      <c r="PRR10" s="2146"/>
      <c r="PRS10" s="2146"/>
      <c r="PSF10" s="103"/>
      <c r="PSH10" s="2146"/>
      <c r="PSI10" s="2146"/>
      <c r="PSV10" s="103"/>
      <c r="PSX10" s="2146"/>
      <c r="PSY10" s="2146"/>
      <c r="PTL10" s="103"/>
      <c r="PTN10" s="2146"/>
      <c r="PTO10" s="2146"/>
      <c r="PUB10" s="103"/>
      <c r="PUD10" s="2146"/>
      <c r="PUE10" s="2146"/>
      <c r="PUR10" s="103"/>
      <c r="PUT10" s="2146"/>
      <c r="PUU10" s="2146"/>
      <c r="PVH10" s="103"/>
      <c r="PVJ10" s="2146"/>
      <c r="PVK10" s="2146"/>
      <c r="PVX10" s="103"/>
      <c r="PVZ10" s="2146"/>
      <c r="PWA10" s="2146"/>
      <c r="PWN10" s="103"/>
      <c r="PWP10" s="2146"/>
      <c r="PWQ10" s="2146"/>
      <c r="PXD10" s="103"/>
      <c r="PXF10" s="2146"/>
      <c r="PXG10" s="2146"/>
      <c r="PXT10" s="103"/>
      <c r="PXV10" s="2146"/>
      <c r="PXW10" s="2146"/>
      <c r="PYJ10" s="103"/>
      <c r="PYL10" s="2146"/>
      <c r="PYM10" s="2146"/>
      <c r="PYZ10" s="103"/>
      <c r="PZB10" s="2146"/>
      <c r="PZC10" s="2146"/>
      <c r="PZP10" s="103"/>
      <c r="PZR10" s="2146"/>
      <c r="PZS10" s="2146"/>
      <c r="QAF10" s="103"/>
      <c r="QAH10" s="2146"/>
      <c r="QAI10" s="2146"/>
      <c r="QAV10" s="103"/>
      <c r="QAX10" s="2146"/>
      <c r="QAY10" s="2146"/>
      <c r="QBL10" s="103"/>
      <c r="QBN10" s="2146"/>
      <c r="QBO10" s="2146"/>
      <c r="QCB10" s="103"/>
      <c r="QCD10" s="2146"/>
      <c r="QCE10" s="2146"/>
      <c r="QCR10" s="103"/>
      <c r="QCT10" s="2146"/>
      <c r="QCU10" s="2146"/>
      <c r="QDH10" s="103"/>
      <c r="QDJ10" s="2146"/>
      <c r="QDK10" s="2146"/>
      <c r="QDX10" s="103"/>
      <c r="QDZ10" s="2146"/>
      <c r="QEA10" s="2146"/>
      <c r="QEN10" s="103"/>
      <c r="QEP10" s="2146"/>
      <c r="QEQ10" s="2146"/>
      <c r="QFD10" s="103"/>
      <c r="QFF10" s="2146"/>
      <c r="QFG10" s="2146"/>
      <c r="QFT10" s="103"/>
      <c r="QFV10" s="2146"/>
      <c r="QFW10" s="2146"/>
      <c r="QGJ10" s="103"/>
      <c r="QGL10" s="2146"/>
      <c r="QGM10" s="2146"/>
      <c r="QGZ10" s="103"/>
      <c r="QHB10" s="2146"/>
      <c r="QHC10" s="2146"/>
      <c r="QHP10" s="103"/>
      <c r="QHR10" s="2146"/>
      <c r="QHS10" s="2146"/>
      <c r="QIF10" s="103"/>
      <c r="QIH10" s="2146"/>
      <c r="QII10" s="2146"/>
      <c r="QIV10" s="103"/>
      <c r="QIX10" s="2146"/>
      <c r="QIY10" s="2146"/>
      <c r="QJL10" s="103"/>
      <c r="QJN10" s="2146"/>
      <c r="QJO10" s="2146"/>
      <c r="QKB10" s="103"/>
      <c r="QKD10" s="2146"/>
      <c r="QKE10" s="2146"/>
      <c r="QKR10" s="103"/>
      <c r="QKT10" s="2146"/>
      <c r="QKU10" s="2146"/>
      <c r="QLH10" s="103"/>
      <c r="QLJ10" s="2146"/>
      <c r="QLK10" s="2146"/>
      <c r="QLX10" s="103"/>
      <c r="QLZ10" s="2146"/>
      <c r="QMA10" s="2146"/>
      <c r="QMN10" s="103"/>
      <c r="QMP10" s="2146"/>
      <c r="QMQ10" s="2146"/>
      <c r="QND10" s="103"/>
      <c r="QNF10" s="2146"/>
      <c r="QNG10" s="2146"/>
      <c r="QNT10" s="103"/>
      <c r="QNV10" s="2146"/>
      <c r="QNW10" s="2146"/>
      <c r="QOJ10" s="103"/>
      <c r="QOL10" s="2146"/>
      <c r="QOM10" s="2146"/>
      <c r="QOZ10" s="103"/>
      <c r="QPB10" s="2146"/>
      <c r="QPC10" s="2146"/>
      <c r="QPP10" s="103"/>
      <c r="QPR10" s="2146"/>
      <c r="QPS10" s="2146"/>
      <c r="QQF10" s="103"/>
      <c r="QQH10" s="2146"/>
      <c r="QQI10" s="2146"/>
      <c r="QQV10" s="103"/>
      <c r="QQX10" s="2146"/>
      <c r="QQY10" s="2146"/>
      <c r="QRL10" s="103"/>
      <c r="QRN10" s="2146"/>
      <c r="QRO10" s="2146"/>
      <c r="QSB10" s="103"/>
      <c r="QSD10" s="2146"/>
      <c r="QSE10" s="2146"/>
      <c r="QSR10" s="103"/>
      <c r="QST10" s="2146"/>
      <c r="QSU10" s="2146"/>
      <c r="QTH10" s="103"/>
      <c r="QTJ10" s="2146"/>
      <c r="QTK10" s="2146"/>
      <c r="QTX10" s="103"/>
      <c r="QTZ10" s="2146"/>
      <c r="QUA10" s="2146"/>
      <c r="QUN10" s="103"/>
      <c r="QUP10" s="2146"/>
      <c r="QUQ10" s="2146"/>
      <c r="QVD10" s="103"/>
      <c r="QVF10" s="2146"/>
      <c r="QVG10" s="2146"/>
      <c r="QVT10" s="103"/>
      <c r="QVV10" s="2146"/>
      <c r="QVW10" s="2146"/>
      <c r="QWJ10" s="103"/>
      <c r="QWL10" s="2146"/>
      <c r="QWM10" s="2146"/>
      <c r="QWZ10" s="103"/>
      <c r="QXB10" s="2146"/>
      <c r="QXC10" s="2146"/>
      <c r="QXP10" s="103"/>
      <c r="QXR10" s="2146"/>
      <c r="QXS10" s="2146"/>
      <c r="QYF10" s="103"/>
      <c r="QYH10" s="2146"/>
      <c r="QYI10" s="2146"/>
      <c r="QYV10" s="103"/>
      <c r="QYX10" s="2146"/>
      <c r="QYY10" s="2146"/>
      <c r="QZL10" s="103"/>
      <c r="QZN10" s="2146"/>
      <c r="QZO10" s="2146"/>
      <c r="RAB10" s="103"/>
      <c r="RAD10" s="2146"/>
      <c r="RAE10" s="2146"/>
      <c r="RAR10" s="103"/>
      <c r="RAT10" s="2146"/>
      <c r="RAU10" s="2146"/>
      <c r="RBH10" s="103"/>
      <c r="RBJ10" s="2146"/>
      <c r="RBK10" s="2146"/>
      <c r="RBX10" s="103"/>
      <c r="RBZ10" s="2146"/>
      <c r="RCA10" s="2146"/>
      <c r="RCN10" s="103"/>
      <c r="RCP10" s="2146"/>
      <c r="RCQ10" s="2146"/>
      <c r="RDD10" s="103"/>
      <c r="RDF10" s="2146"/>
      <c r="RDG10" s="2146"/>
      <c r="RDT10" s="103"/>
      <c r="RDV10" s="2146"/>
      <c r="RDW10" s="2146"/>
      <c r="REJ10" s="103"/>
      <c r="REL10" s="2146"/>
      <c r="REM10" s="2146"/>
      <c r="REZ10" s="103"/>
      <c r="RFB10" s="2146"/>
      <c r="RFC10" s="2146"/>
      <c r="RFP10" s="103"/>
      <c r="RFR10" s="2146"/>
      <c r="RFS10" s="2146"/>
      <c r="RGF10" s="103"/>
      <c r="RGH10" s="2146"/>
      <c r="RGI10" s="2146"/>
      <c r="RGV10" s="103"/>
      <c r="RGX10" s="2146"/>
      <c r="RGY10" s="2146"/>
      <c r="RHL10" s="103"/>
      <c r="RHN10" s="2146"/>
      <c r="RHO10" s="2146"/>
      <c r="RIB10" s="103"/>
      <c r="RID10" s="2146"/>
      <c r="RIE10" s="2146"/>
      <c r="RIR10" s="103"/>
      <c r="RIT10" s="2146"/>
      <c r="RIU10" s="2146"/>
      <c r="RJH10" s="103"/>
      <c r="RJJ10" s="2146"/>
      <c r="RJK10" s="2146"/>
      <c r="RJX10" s="103"/>
      <c r="RJZ10" s="2146"/>
      <c r="RKA10" s="2146"/>
      <c r="RKN10" s="103"/>
      <c r="RKP10" s="2146"/>
      <c r="RKQ10" s="2146"/>
      <c r="RLD10" s="103"/>
      <c r="RLF10" s="2146"/>
      <c r="RLG10" s="2146"/>
      <c r="RLT10" s="103"/>
      <c r="RLV10" s="2146"/>
      <c r="RLW10" s="2146"/>
      <c r="RMJ10" s="103"/>
      <c r="RML10" s="2146"/>
      <c r="RMM10" s="2146"/>
      <c r="RMZ10" s="103"/>
      <c r="RNB10" s="2146"/>
      <c r="RNC10" s="2146"/>
      <c r="RNP10" s="103"/>
      <c r="RNR10" s="2146"/>
      <c r="RNS10" s="2146"/>
      <c r="ROF10" s="103"/>
      <c r="ROH10" s="2146"/>
      <c r="ROI10" s="2146"/>
      <c r="ROV10" s="103"/>
      <c r="ROX10" s="2146"/>
      <c r="ROY10" s="2146"/>
      <c r="RPL10" s="103"/>
      <c r="RPN10" s="2146"/>
      <c r="RPO10" s="2146"/>
      <c r="RQB10" s="103"/>
      <c r="RQD10" s="2146"/>
      <c r="RQE10" s="2146"/>
      <c r="RQR10" s="103"/>
      <c r="RQT10" s="2146"/>
      <c r="RQU10" s="2146"/>
      <c r="RRH10" s="103"/>
      <c r="RRJ10" s="2146"/>
      <c r="RRK10" s="2146"/>
      <c r="RRX10" s="103"/>
      <c r="RRZ10" s="2146"/>
      <c r="RSA10" s="2146"/>
      <c r="RSN10" s="103"/>
      <c r="RSP10" s="2146"/>
      <c r="RSQ10" s="2146"/>
      <c r="RTD10" s="103"/>
      <c r="RTF10" s="2146"/>
      <c r="RTG10" s="2146"/>
      <c r="RTT10" s="103"/>
      <c r="RTV10" s="2146"/>
      <c r="RTW10" s="2146"/>
      <c r="RUJ10" s="103"/>
      <c r="RUL10" s="2146"/>
      <c r="RUM10" s="2146"/>
      <c r="RUZ10" s="103"/>
      <c r="RVB10" s="2146"/>
      <c r="RVC10" s="2146"/>
      <c r="RVP10" s="103"/>
      <c r="RVR10" s="2146"/>
      <c r="RVS10" s="2146"/>
      <c r="RWF10" s="103"/>
      <c r="RWH10" s="2146"/>
      <c r="RWI10" s="2146"/>
      <c r="RWV10" s="103"/>
      <c r="RWX10" s="2146"/>
      <c r="RWY10" s="2146"/>
      <c r="RXL10" s="103"/>
      <c r="RXN10" s="2146"/>
      <c r="RXO10" s="2146"/>
      <c r="RYB10" s="103"/>
      <c r="RYD10" s="2146"/>
      <c r="RYE10" s="2146"/>
      <c r="RYR10" s="103"/>
      <c r="RYT10" s="2146"/>
      <c r="RYU10" s="2146"/>
      <c r="RZH10" s="103"/>
      <c r="RZJ10" s="2146"/>
      <c r="RZK10" s="2146"/>
      <c r="RZX10" s="103"/>
      <c r="RZZ10" s="2146"/>
      <c r="SAA10" s="2146"/>
      <c r="SAN10" s="103"/>
      <c r="SAP10" s="2146"/>
      <c r="SAQ10" s="2146"/>
      <c r="SBD10" s="103"/>
      <c r="SBF10" s="2146"/>
      <c r="SBG10" s="2146"/>
      <c r="SBT10" s="103"/>
      <c r="SBV10" s="2146"/>
      <c r="SBW10" s="2146"/>
      <c r="SCJ10" s="103"/>
      <c r="SCL10" s="2146"/>
      <c r="SCM10" s="2146"/>
      <c r="SCZ10" s="103"/>
      <c r="SDB10" s="2146"/>
      <c r="SDC10" s="2146"/>
      <c r="SDP10" s="103"/>
      <c r="SDR10" s="2146"/>
      <c r="SDS10" s="2146"/>
      <c r="SEF10" s="103"/>
      <c r="SEH10" s="2146"/>
      <c r="SEI10" s="2146"/>
      <c r="SEV10" s="103"/>
      <c r="SEX10" s="2146"/>
      <c r="SEY10" s="2146"/>
      <c r="SFL10" s="103"/>
      <c r="SFN10" s="2146"/>
      <c r="SFO10" s="2146"/>
      <c r="SGB10" s="103"/>
      <c r="SGD10" s="2146"/>
      <c r="SGE10" s="2146"/>
      <c r="SGR10" s="103"/>
      <c r="SGT10" s="2146"/>
      <c r="SGU10" s="2146"/>
      <c r="SHH10" s="103"/>
      <c r="SHJ10" s="2146"/>
      <c r="SHK10" s="2146"/>
      <c r="SHX10" s="103"/>
      <c r="SHZ10" s="2146"/>
      <c r="SIA10" s="2146"/>
      <c r="SIN10" s="103"/>
      <c r="SIP10" s="2146"/>
      <c r="SIQ10" s="2146"/>
      <c r="SJD10" s="103"/>
      <c r="SJF10" s="2146"/>
      <c r="SJG10" s="2146"/>
      <c r="SJT10" s="103"/>
      <c r="SJV10" s="2146"/>
      <c r="SJW10" s="2146"/>
      <c r="SKJ10" s="103"/>
      <c r="SKL10" s="2146"/>
      <c r="SKM10" s="2146"/>
      <c r="SKZ10" s="103"/>
      <c r="SLB10" s="2146"/>
      <c r="SLC10" s="2146"/>
      <c r="SLP10" s="103"/>
      <c r="SLR10" s="2146"/>
      <c r="SLS10" s="2146"/>
      <c r="SMF10" s="103"/>
      <c r="SMH10" s="2146"/>
      <c r="SMI10" s="2146"/>
      <c r="SMV10" s="103"/>
      <c r="SMX10" s="2146"/>
      <c r="SMY10" s="2146"/>
      <c r="SNL10" s="103"/>
      <c r="SNN10" s="2146"/>
      <c r="SNO10" s="2146"/>
      <c r="SOB10" s="103"/>
      <c r="SOD10" s="2146"/>
      <c r="SOE10" s="2146"/>
      <c r="SOR10" s="103"/>
      <c r="SOT10" s="2146"/>
      <c r="SOU10" s="2146"/>
      <c r="SPH10" s="103"/>
      <c r="SPJ10" s="2146"/>
      <c r="SPK10" s="2146"/>
      <c r="SPX10" s="103"/>
      <c r="SPZ10" s="2146"/>
      <c r="SQA10" s="2146"/>
      <c r="SQN10" s="103"/>
      <c r="SQP10" s="2146"/>
      <c r="SQQ10" s="2146"/>
      <c r="SRD10" s="103"/>
      <c r="SRF10" s="2146"/>
      <c r="SRG10" s="2146"/>
      <c r="SRT10" s="103"/>
      <c r="SRV10" s="2146"/>
      <c r="SRW10" s="2146"/>
      <c r="SSJ10" s="103"/>
      <c r="SSL10" s="2146"/>
      <c r="SSM10" s="2146"/>
      <c r="SSZ10" s="103"/>
      <c r="STB10" s="2146"/>
      <c r="STC10" s="2146"/>
      <c r="STP10" s="103"/>
      <c r="STR10" s="2146"/>
      <c r="STS10" s="2146"/>
      <c r="SUF10" s="103"/>
      <c r="SUH10" s="2146"/>
      <c r="SUI10" s="2146"/>
      <c r="SUV10" s="103"/>
      <c r="SUX10" s="2146"/>
      <c r="SUY10" s="2146"/>
      <c r="SVL10" s="103"/>
      <c r="SVN10" s="2146"/>
      <c r="SVO10" s="2146"/>
      <c r="SWB10" s="103"/>
      <c r="SWD10" s="2146"/>
      <c r="SWE10" s="2146"/>
      <c r="SWR10" s="103"/>
      <c r="SWT10" s="2146"/>
      <c r="SWU10" s="2146"/>
      <c r="SXH10" s="103"/>
      <c r="SXJ10" s="2146"/>
      <c r="SXK10" s="2146"/>
      <c r="SXX10" s="103"/>
      <c r="SXZ10" s="2146"/>
      <c r="SYA10" s="2146"/>
      <c r="SYN10" s="103"/>
      <c r="SYP10" s="2146"/>
      <c r="SYQ10" s="2146"/>
      <c r="SZD10" s="103"/>
      <c r="SZF10" s="2146"/>
      <c r="SZG10" s="2146"/>
      <c r="SZT10" s="103"/>
      <c r="SZV10" s="2146"/>
      <c r="SZW10" s="2146"/>
      <c r="TAJ10" s="103"/>
      <c r="TAL10" s="2146"/>
      <c r="TAM10" s="2146"/>
      <c r="TAZ10" s="103"/>
      <c r="TBB10" s="2146"/>
      <c r="TBC10" s="2146"/>
      <c r="TBP10" s="103"/>
      <c r="TBR10" s="2146"/>
      <c r="TBS10" s="2146"/>
      <c r="TCF10" s="103"/>
      <c r="TCH10" s="2146"/>
      <c r="TCI10" s="2146"/>
      <c r="TCV10" s="103"/>
      <c r="TCX10" s="2146"/>
      <c r="TCY10" s="2146"/>
      <c r="TDL10" s="103"/>
      <c r="TDN10" s="2146"/>
      <c r="TDO10" s="2146"/>
      <c r="TEB10" s="103"/>
      <c r="TED10" s="2146"/>
      <c r="TEE10" s="2146"/>
      <c r="TER10" s="103"/>
      <c r="TET10" s="2146"/>
      <c r="TEU10" s="2146"/>
      <c r="TFH10" s="103"/>
      <c r="TFJ10" s="2146"/>
      <c r="TFK10" s="2146"/>
      <c r="TFX10" s="103"/>
      <c r="TFZ10" s="2146"/>
      <c r="TGA10" s="2146"/>
      <c r="TGN10" s="103"/>
      <c r="TGP10" s="2146"/>
      <c r="TGQ10" s="2146"/>
      <c r="THD10" s="103"/>
      <c r="THF10" s="2146"/>
      <c r="THG10" s="2146"/>
      <c r="THT10" s="103"/>
      <c r="THV10" s="2146"/>
      <c r="THW10" s="2146"/>
      <c r="TIJ10" s="103"/>
      <c r="TIL10" s="2146"/>
      <c r="TIM10" s="2146"/>
      <c r="TIZ10" s="103"/>
      <c r="TJB10" s="2146"/>
      <c r="TJC10" s="2146"/>
      <c r="TJP10" s="103"/>
      <c r="TJR10" s="2146"/>
      <c r="TJS10" s="2146"/>
      <c r="TKF10" s="103"/>
      <c r="TKH10" s="2146"/>
      <c r="TKI10" s="2146"/>
      <c r="TKV10" s="103"/>
      <c r="TKX10" s="2146"/>
      <c r="TKY10" s="2146"/>
      <c r="TLL10" s="103"/>
      <c r="TLN10" s="2146"/>
      <c r="TLO10" s="2146"/>
      <c r="TMB10" s="103"/>
      <c r="TMD10" s="2146"/>
      <c r="TME10" s="2146"/>
      <c r="TMR10" s="103"/>
      <c r="TMT10" s="2146"/>
      <c r="TMU10" s="2146"/>
      <c r="TNH10" s="103"/>
      <c r="TNJ10" s="2146"/>
      <c r="TNK10" s="2146"/>
      <c r="TNX10" s="103"/>
      <c r="TNZ10" s="2146"/>
      <c r="TOA10" s="2146"/>
      <c r="TON10" s="103"/>
      <c r="TOP10" s="2146"/>
      <c r="TOQ10" s="2146"/>
      <c r="TPD10" s="103"/>
      <c r="TPF10" s="2146"/>
      <c r="TPG10" s="2146"/>
      <c r="TPT10" s="103"/>
      <c r="TPV10" s="2146"/>
      <c r="TPW10" s="2146"/>
      <c r="TQJ10" s="103"/>
      <c r="TQL10" s="2146"/>
      <c r="TQM10" s="2146"/>
      <c r="TQZ10" s="103"/>
      <c r="TRB10" s="2146"/>
      <c r="TRC10" s="2146"/>
      <c r="TRP10" s="103"/>
      <c r="TRR10" s="2146"/>
      <c r="TRS10" s="2146"/>
      <c r="TSF10" s="103"/>
      <c r="TSH10" s="2146"/>
      <c r="TSI10" s="2146"/>
      <c r="TSV10" s="103"/>
      <c r="TSX10" s="2146"/>
      <c r="TSY10" s="2146"/>
      <c r="TTL10" s="103"/>
      <c r="TTN10" s="2146"/>
      <c r="TTO10" s="2146"/>
      <c r="TUB10" s="103"/>
      <c r="TUD10" s="2146"/>
      <c r="TUE10" s="2146"/>
      <c r="TUR10" s="103"/>
      <c r="TUT10" s="2146"/>
      <c r="TUU10" s="2146"/>
      <c r="TVH10" s="103"/>
      <c r="TVJ10" s="2146"/>
      <c r="TVK10" s="2146"/>
      <c r="TVX10" s="103"/>
      <c r="TVZ10" s="2146"/>
      <c r="TWA10" s="2146"/>
      <c r="TWN10" s="103"/>
      <c r="TWP10" s="2146"/>
      <c r="TWQ10" s="2146"/>
      <c r="TXD10" s="103"/>
      <c r="TXF10" s="2146"/>
      <c r="TXG10" s="2146"/>
      <c r="TXT10" s="103"/>
      <c r="TXV10" s="2146"/>
      <c r="TXW10" s="2146"/>
      <c r="TYJ10" s="103"/>
      <c r="TYL10" s="2146"/>
      <c r="TYM10" s="2146"/>
      <c r="TYZ10" s="103"/>
      <c r="TZB10" s="2146"/>
      <c r="TZC10" s="2146"/>
      <c r="TZP10" s="103"/>
      <c r="TZR10" s="2146"/>
      <c r="TZS10" s="2146"/>
      <c r="UAF10" s="103"/>
      <c r="UAH10" s="2146"/>
      <c r="UAI10" s="2146"/>
      <c r="UAV10" s="103"/>
      <c r="UAX10" s="2146"/>
      <c r="UAY10" s="2146"/>
      <c r="UBL10" s="103"/>
      <c r="UBN10" s="2146"/>
      <c r="UBO10" s="2146"/>
      <c r="UCB10" s="103"/>
      <c r="UCD10" s="2146"/>
      <c r="UCE10" s="2146"/>
      <c r="UCR10" s="103"/>
      <c r="UCT10" s="2146"/>
      <c r="UCU10" s="2146"/>
      <c r="UDH10" s="103"/>
      <c r="UDJ10" s="2146"/>
      <c r="UDK10" s="2146"/>
      <c r="UDX10" s="103"/>
      <c r="UDZ10" s="2146"/>
      <c r="UEA10" s="2146"/>
      <c r="UEN10" s="103"/>
      <c r="UEP10" s="2146"/>
      <c r="UEQ10" s="2146"/>
      <c r="UFD10" s="103"/>
      <c r="UFF10" s="2146"/>
      <c r="UFG10" s="2146"/>
      <c r="UFT10" s="103"/>
      <c r="UFV10" s="2146"/>
      <c r="UFW10" s="2146"/>
      <c r="UGJ10" s="103"/>
      <c r="UGL10" s="2146"/>
      <c r="UGM10" s="2146"/>
      <c r="UGZ10" s="103"/>
      <c r="UHB10" s="2146"/>
      <c r="UHC10" s="2146"/>
      <c r="UHP10" s="103"/>
      <c r="UHR10" s="2146"/>
      <c r="UHS10" s="2146"/>
      <c r="UIF10" s="103"/>
      <c r="UIH10" s="2146"/>
      <c r="UII10" s="2146"/>
      <c r="UIV10" s="103"/>
      <c r="UIX10" s="2146"/>
      <c r="UIY10" s="2146"/>
      <c r="UJL10" s="103"/>
      <c r="UJN10" s="2146"/>
      <c r="UJO10" s="2146"/>
      <c r="UKB10" s="103"/>
      <c r="UKD10" s="2146"/>
      <c r="UKE10" s="2146"/>
      <c r="UKR10" s="103"/>
      <c r="UKT10" s="2146"/>
      <c r="UKU10" s="2146"/>
      <c r="ULH10" s="103"/>
      <c r="ULJ10" s="2146"/>
      <c r="ULK10" s="2146"/>
      <c r="ULX10" s="103"/>
      <c r="ULZ10" s="2146"/>
      <c r="UMA10" s="2146"/>
      <c r="UMN10" s="103"/>
      <c r="UMP10" s="2146"/>
      <c r="UMQ10" s="2146"/>
      <c r="UND10" s="103"/>
      <c r="UNF10" s="2146"/>
      <c r="UNG10" s="2146"/>
      <c r="UNT10" s="103"/>
      <c r="UNV10" s="2146"/>
      <c r="UNW10" s="2146"/>
      <c r="UOJ10" s="103"/>
      <c r="UOL10" s="2146"/>
      <c r="UOM10" s="2146"/>
      <c r="UOZ10" s="103"/>
      <c r="UPB10" s="2146"/>
      <c r="UPC10" s="2146"/>
      <c r="UPP10" s="103"/>
      <c r="UPR10" s="2146"/>
      <c r="UPS10" s="2146"/>
      <c r="UQF10" s="103"/>
      <c r="UQH10" s="2146"/>
      <c r="UQI10" s="2146"/>
      <c r="UQV10" s="103"/>
      <c r="UQX10" s="2146"/>
      <c r="UQY10" s="2146"/>
      <c r="URL10" s="103"/>
      <c r="URN10" s="2146"/>
      <c r="URO10" s="2146"/>
      <c r="USB10" s="103"/>
      <c r="USD10" s="2146"/>
      <c r="USE10" s="2146"/>
      <c r="USR10" s="103"/>
      <c r="UST10" s="2146"/>
      <c r="USU10" s="2146"/>
      <c r="UTH10" s="103"/>
      <c r="UTJ10" s="2146"/>
      <c r="UTK10" s="2146"/>
      <c r="UTX10" s="103"/>
      <c r="UTZ10" s="2146"/>
      <c r="UUA10" s="2146"/>
      <c r="UUN10" s="103"/>
      <c r="UUP10" s="2146"/>
      <c r="UUQ10" s="2146"/>
      <c r="UVD10" s="103"/>
      <c r="UVF10" s="2146"/>
      <c r="UVG10" s="2146"/>
      <c r="UVT10" s="103"/>
      <c r="UVV10" s="2146"/>
      <c r="UVW10" s="2146"/>
      <c r="UWJ10" s="103"/>
      <c r="UWL10" s="2146"/>
      <c r="UWM10" s="2146"/>
      <c r="UWZ10" s="103"/>
      <c r="UXB10" s="2146"/>
      <c r="UXC10" s="2146"/>
      <c r="UXP10" s="103"/>
      <c r="UXR10" s="2146"/>
      <c r="UXS10" s="2146"/>
      <c r="UYF10" s="103"/>
      <c r="UYH10" s="2146"/>
      <c r="UYI10" s="2146"/>
      <c r="UYV10" s="103"/>
      <c r="UYX10" s="2146"/>
      <c r="UYY10" s="2146"/>
      <c r="UZL10" s="103"/>
      <c r="UZN10" s="2146"/>
      <c r="UZO10" s="2146"/>
      <c r="VAB10" s="103"/>
      <c r="VAD10" s="2146"/>
      <c r="VAE10" s="2146"/>
      <c r="VAR10" s="103"/>
      <c r="VAT10" s="2146"/>
      <c r="VAU10" s="2146"/>
      <c r="VBH10" s="103"/>
      <c r="VBJ10" s="2146"/>
      <c r="VBK10" s="2146"/>
      <c r="VBX10" s="103"/>
      <c r="VBZ10" s="2146"/>
      <c r="VCA10" s="2146"/>
      <c r="VCN10" s="103"/>
      <c r="VCP10" s="2146"/>
      <c r="VCQ10" s="2146"/>
      <c r="VDD10" s="103"/>
      <c r="VDF10" s="2146"/>
      <c r="VDG10" s="2146"/>
      <c r="VDT10" s="103"/>
      <c r="VDV10" s="2146"/>
      <c r="VDW10" s="2146"/>
      <c r="VEJ10" s="103"/>
      <c r="VEL10" s="2146"/>
      <c r="VEM10" s="2146"/>
      <c r="VEZ10" s="103"/>
      <c r="VFB10" s="2146"/>
      <c r="VFC10" s="2146"/>
      <c r="VFP10" s="103"/>
      <c r="VFR10" s="2146"/>
      <c r="VFS10" s="2146"/>
      <c r="VGF10" s="103"/>
      <c r="VGH10" s="2146"/>
      <c r="VGI10" s="2146"/>
      <c r="VGV10" s="103"/>
      <c r="VGX10" s="2146"/>
      <c r="VGY10" s="2146"/>
      <c r="VHL10" s="103"/>
      <c r="VHN10" s="2146"/>
      <c r="VHO10" s="2146"/>
      <c r="VIB10" s="103"/>
      <c r="VID10" s="2146"/>
      <c r="VIE10" s="2146"/>
      <c r="VIR10" s="103"/>
      <c r="VIT10" s="2146"/>
      <c r="VIU10" s="2146"/>
      <c r="VJH10" s="103"/>
      <c r="VJJ10" s="2146"/>
      <c r="VJK10" s="2146"/>
      <c r="VJX10" s="103"/>
      <c r="VJZ10" s="2146"/>
      <c r="VKA10" s="2146"/>
      <c r="VKN10" s="103"/>
      <c r="VKP10" s="2146"/>
      <c r="VKQ10" s="2146"/>
      <c r="VLD10" s="103"/>
      <c r="VLF10" s="2146"/>
      <c r="VLG10" s="2146"/>
      <c r="VLT10" s="103"/>
      <c r="VLV10" s="2146"/>
      <c r="VLW10" s="2146"/>
      <c r="VMJ10" s="103"/>
      <c r="VML10" s="2146"/>
      <c r="VMM10" s="2146"/>
      <c r="VMZ10" s="103"/>
      <c r="VNB10" s="2146"/>
      <c r="VNC10" s="2146"/>
      <c r="VNP10" s="103"/>
      <c r="VNR10" s="2146"/>
      <c r="VNS10" s="2146"/>
      <c r="VOF10" s="103"/>
      <c r="VOH10" s="2146"/>
      <c r="VOI10" s="2146"/>
      <c r="VOV10" s="103"/>
      <c r="VOX10" s="2146"/>
      <c r="VOY10" s="2146"/>
      <c r="VPL10" s="103"/>
      <c r="VPN10" s="2146"/>
      <c r="VPO10" s="2146"/>
      <c r="VQB10" s="103"/>
      <c r="VQD10" s="2146"/>
      <c r="VQE10" s="2146"/>
      <c r="VQR10" s="103"/>
      <c r="VQT10" s="2146"/>
      <c r="VQU10" s="2146"/>
      <c r="VRH10" s="103"/>
      <c r="VRJ10" s="2146"/>
      <c r="VRK10" s="2146"/>
      <c r="VRX10" s="103"/>
      <c r="VRZ10" s="2146"/>
      <c r="VSA10" s="2146"/>
      <c r="VSN10" s="103"/>
      <c r="VSP10" s="2146"/>
      <c r="VSQ10" s="2146"/>
      <c r="VTD10" s="103"/>
      <c r="VTF10" s="2146"/>
      <c r="VTG10" s="2146"/>
      <c r="VTT10" s="103"/>
      <c r="VTV10" s="2146"/>
      <c r="VTW10" s="2146"/>
      <c r="VUJ10" s="103"/>
      <c r="VUL10" s="2146"/>
      <c r="VUM10" s="2146"/>
      <c r="VUZ10" s="103"/>
      <c r="VVB10" s="2146"/>
      <c r="VVC10" s="2146"/>
      <c r="VVP10" s="103"/>
      <c r="VVR10" s="2146"/>
      <c r="VVS10" s="2146"/>
      <c r="VWF10" s="103"/>
      <c r="VWH10" s="2146"/>
      <c r="VWI10" s="2146"/>
      <c r="VWV10" s="103"/>
      <c r="VWX10" s="2146"/>
      <c r="VWY10" s="2146"/>
      <c r="VXL10" s="103"/>
      <c r="VXN10" s="2146"/>
      <c r="VXO10" s="2146"/>
      <c r="VYB10" s="103"/>
      <c r="VYD10" s="2146"/>
      <c r="VYE10" s="2146"/>
      <c r="VYR10" s="103"/>
      <c r="VYT10" s="2146"/>
      <c r="VYU10" s="2146"/>
      <c r="VZH10" s="103"/>
      <c r="VZJ10" s="2146"/>
      <c r="VZK10" s="2146"/>
      <c r="VZX10" s="103"/>
      <c r="VZZ10" s="2146"/>
      <c r="WAA10" s="2146"/>
      <c r="WAN10" s="103"/>
      <c r="WAP10" s="2146"/>
      <c r="WAQ10" s="2146"/>
      <c r="WBD10" s="103"/>
      <c r="WBF10" s="2146"/>
      <c r="WBG10" s="2146"/>
      <c r="WBT10" s="103"/>
      <c r="WBV10" s="2146"/>
      <c r="WBW10" s="2146"/>
      <c r="WCJ10" s="103"/>
      <c r="WCL10" s="2146"/>
      <c r="WCM10" s="2146"/>
      <c r="WCZ10" s="103"/>
      <c r="WDB10" s="2146"/>
      <c r="WDC10" s="2146"/>
      <c r="WDP10" s="103"/>
      <c r="WDR10" s="2146"/>
      <c r="WDS10" s="2146"/>
      <c r="WEF10" s="103"/>
      <c r="WEH10" s="2146"/>
      <c r="WEI10" s="2146"/>
      <c r="WEV10" s="103"/>
      <c r="WEX10" s="2146"/>
      <c r="WEY10" s="2146"/>
      <c r="WFL10" s="103"/>
      <c r="WFN10" s="2146"/>
      <c r="WFO10" s="2146"/>
      <c r="WGB10" s="103"/>
      <c r="WGD10" s="2146"/>
      <c r="WGE10" s="2146"/>
      <c r="WGR10" s="103"/>
      <c r="WGT10" s="2146"/>
      <c r="WGU10" s="2146"/>
      <c r="WHH10" s="103"/>
      <c r="WHJ10" s="2146"/>
      <c r="WHK10" s="2146"/>
      <c r="WHX10" s="103"/>
      <c r="WHZ10" s="2146"/>
      <c r="WIA10" s="2146"/>
      <c r="WIN10" s="103"/>
      <c r="WIP10" s="2146"/>
      <c r="WIQ10" s="2146"/>
      <c r="WJD10" s="103"/>
      <c r="WJF10" s="2146"/>
      <c r="WJG10" s="2146"/>
      <c r="WJT10" s="103"/>
      <c r="WJV10" s="2146"/>
      <c r="WJW10" s="2146"/>
      <c r="WKJ10" s="103"/>
      <c r="WKL10" s="2146"/>
      <c r="WKM10" s="2146"/>
      <c r="WKZ10" s="103"/>
      <c r="WLB10" s="2146"/>
      <c r="WLC10" s="2146"/>
      <c r="WLP10" s="103"/>
      <c r="WLR10" s="2146"/>
      <c r="WLS10" s="2146"/>
      <c r="WMF10" s="103"/>
      <c r="WMH10" s="2146"/>
      <c r="WMI10" s="2146"/>
      <c r="WMV10" s="103"/>
      <c r="WMX10" s="2146"/>
      <c r="WMY10" s="2146"/>
      <c r="WNL10" s="103"/>
      <c r="WNN10" s="2146"/>
      <c r="WNO10" s="2146"/>
      <c r="WOB10" s="103"/>
      <c r="WOD10" s="2146"/>
      <c r="WOE10" s="2146"/>
      <c r="WOR10" s="103"/>
      <c r="WOT10" s="2146"/>
      <c r="WOU10" s="2146"/>
      <c r="WPH10" s="103"/>
      <c r="WPJ10" s="2146"/>
      <c r="WPK10" s="2146"/>
      <c r="WPX10" s="103"/>
      <c r="WPZ10" s="2146"/>
      <c r="WQA10" s="2146"/>
      <c r="WQN10" s="103"/>
      <c r="WQP10" s="2146"/>
      <c r="WQQ10" s="2146"/>
      <c r="WRD10" s="103"/>
      <c r="WRF10" s="2146"/>
      <c r="WRG10" s="2146"/>
      <c r="WRT10" s="103"/>
      <c r="WRV10" s="2146"/>
      <c r="WRW10" s="2146"/>
      <c r="WSJ10" s="103"/>
      <c r="WSL10" s="2146"/>
      <c r="WSM10" s="2146"/>
      <c r="WSZ10" s="103"/>
      <c r="WTB10" s="2146"/>
      <c r="WTC10" s="2146"/>
      <c r="WTP10" s="103"/>
      <c r="WTR10" s="2146"/>
      <c r="WTS10" s="2146"/>
      <c r="WUF10" s="103"/>
      <c r="WUH10" s="2146"/>
      <c r="WUI10" s="2146"/>
      <c r="WUV10" s="103"/>
      <c r="WUX10" s="2146"/>
      <c r="WUY10" s="2146"/>
      <c r="WVL10" s="103"/>
      <c r="WVN10" s="2146"/>
      <c r="WVO10" s="2146"/>
      <c r="WWB10" s="103"/>
      <c r="WWD10" s="2146"/>
      <c r="WWE10" s="2146"/>
      <c r="WWR10" s="103"/>
      <c r="WWT10" s="2146"/>
      <c r="WWU10" s="2146"/>
      <c r="WXH10" s="103"/>
      <c r="WXJ10" s="2146"/>
      <c r="WXK10" s="2146"/>
      <c r="WXX10" s="103"/>
      <c r="WXZ10" s="2146"/>
      <c r="WYA10" s="2146"/>
      <c r="WYN10" s="103"/>
      <c r="WYP10" s="2146"/>
      <c r="WYQ10" s="2146"/>
      <c r="WZD10" s="103"/>
      <c r="WZF10" s="2146"/>
      <c r="WZG10" s="2146"/>
      <c r="WZT10" s="103"/>
      <c r="WZV10" s="2146"/>
      <c r="WZW10" s="2146"/>
      <c r="XAJ10" s="103"/>
      <c r="XAL10" s="2146"/>
      <c r="XAM10" s="2146"/>
      <c r="XAZ10" s="103"/>
      <c r="XBB10" s="2146"/>
      <c r="XBC10" s="2146"/>
      <c r="XBP10" s="103"/>
      <c r="XBR10" s="2146"/>
      <c r="XBS10" s="2146"/>
      <c r="XCF10" s="103"/>
      <c r="XCH10" s="2146"/>
      <c r="XCI10" s="2146"/>
      <c r="XCV10" s="103"/>
      <c r="XCX10" s="2146"/>
      <c r="XCY10" s="2146"/>
      <c r="XDL10" s="103"/>
      <c r="XDN10" s="2146"/>
      <c r="XDO10" s="2146"/>
      <c r="XEB10" s="103"/>
      <c r="XED10" s="2146"/>
      <c r="XEE10" s="2146"/>
      <c r="XER10" s="103"/>
      <c r="XET10" s="2146"/>
      <c r="XEU10" s="2146"/>
    </row>
    <row r="11" spans="1:1015 1028:2039 2052:3063 3076:4087 4100:5111 5124:6135 6148:7159 7172:8183 8196:9207 9220:10231 10244:11255 11268:12279 12292:13303 13316:14327 14340:15351 15364:16375" ht="15.6">
      <c r="D11" s="722" t="s">
        <v>1600</v>
      </c>
      <c r="E11" s="670" t="s">
        <v>365</v>
      </c>
      <c r="F11" s="2155" t="str">
        <f>LoadabilityLimit &amp; " Amps"</f>
        <v>0 Amps</v>
      </c>
      <c r="G11" s="2155"/>
      <c r="H11" s="2161"/>
      <c r="I11" s="2161"/>
      <c r="J11" s="2161"/>
      <c r="K11" s="2161"/>
      <c r="L11" s="2161"/>
      <c r="M11" s="2161"/>
      <c r="N11" s="2161"/>
      <c r="O11" s="2161"/>
      <c r="P11" s="2161"/>
      <c r="T11" s="103"/>
      <c r="V11" s="2146"/>
      <c r="W11" s="2146"/>
      <c r="AJ11" s="103"/>
      <c r="AL11" s="2146"/>
      <c r="AM11" s="2146"/>
      <c r="AZ11" s="103"/>
      <c r="BB11" s="2146"/>
      <c r="BC11" s="2146"/>
      <c r="BP11" s="103"/>
      <c r="BR11" s="2146"/>
      <c r="BS11" s="2146"/>
      <c r="CF11" s="103"/>
      <c r="CH11" s="2146"/>
      <c r="CI11" s="2146"/>
      <c r="CV11" s="103"/>
      <c r="CX11" s="2146"/>
      <c r="CY11" s="2146"/>
      <c r="DL11" s="103"/>
      <c r="DN11" s="2146"/>
      <c r="DO11" s="2146"/>
      <c r="EB11" s="103"/>
      <c r="ED11" s="2146"/>
      <c r="EE11" s="2146"/>
      <c r="ER11" s="103"/>
      <c r="ET11" s="2146"/>
      <c r="EU11" s="2146"/>
      <c r="FH11" s="103"/>
      <c r="FJ11" s="2146"/>
      <c r="FK11" s="2146"/>
      <c r="FX11" s="103"/>
      <c r="FZ11" s="2146"/>
      <c r="GA11" s="2146"/>
      <c r="GN11" s="103"/>
      <c r="GP11" s="2146"/>
      <c r="GQ11" s="2146"/>
      <c r="HD11" s="103"/>
      <c r="HF11" s="2146"/>
      <c r="HG11" s="2146"/>
      <c r="HT11" s="103"/>
      <c r="HV11" s="2146"/>
      <c r="HW11" s="2146"/>
      <c r="IJ11" s="103"/>
      <c r="IL11" s="2146"/>
      <c r="IM11" s="2146"/>
      <c r="IZ11" s="103"/>
      <c r="JB11" s="2146"/>
      <c r="JC11" s="2146"/>
      <c r="JP11" s="103"/>
      <c r="JR11" s="2146"/>
      <c r="JS11" s="2146"/>
      <c r="KF11" s="103"/>
      <c r="KH11" s="2146"/>
      <c r="KI11" s="2146"/>
      <c r="KV11" s="103"/>
      <c r="KX11" s="2146"/>
      <c r="KY11" s="2146"/>
      <c r="LL11" s="103"/>
      <c r="LN11" s="2146"/>
      <c r="LO11" s="2146"/>
      <c r="MB11" s="103"/>
      <c r="MD11" s="2146"/>
      <c r="ME11" s="2146"/>
      <c r="MR11" s="103"/>
      <c r="MT11" s="2146"/>
      <c r="MU11" s="2146"/>
      <c r="NH11" s="103"/>
      <c r="NJ11" s="2146"/>
      <c r="NK11" s="2146"/>
      <c r="NX11" s="103"/>
      <c r="NZ11" s="2146"/>
      <c r="OA11" s="2146"/>
      <c r="ON11" s="103"/>
      <c r="OP11" s="2146"/>
      <c r="OQ11" s="2146"/>
      <c r="PD11" s="103"/>
      <c r="PF11" s="2146"/>
      <c r="PG11" s="2146"/>
      <c r="PT11" s="103"/>
      <c r="PV11" s="2146"/>
      <c r="PW11" s="2146"/>
      <c r="QJ11" s="103"/>
      <c r="QL11" s="2146"/>
      <c r="QM11" s="2146"/>
      <c r="QZ11" s="103"/>
      <c r="RB11" s="2146"/>
      <c r="RC11" s="2146"/>
      <c r="RP11" s="103"/>
      <c r="RR11" s="2146"/>
      <c r="RS11" s="2146"/>
      <c r="SF11" s="103"/>
      <c r="SH11" s="2146"/>
      <c r="SI11" s="2146"/>
      <c r="SV11" s="103"/>
      <c r="SX11" s="2146"/>
      <c r="SY11" s="2146"/>
      <c r="TL11" s="103"/>
      <c r="TN11" s="2146"/>
      <c r="TO11" s="2146"/>
      <c r="UB11" s="103"/>
      <c r="UD11" s="2146"/>
      <c r="UE11" s="2146"/>
      <c r="UR11" s="103"/>
      <c r="UT11" s="2146"/>
      <c r="UU11" s="2146"/>
      <c r="VH11" s="103"/>
      <c r="VJ11" s="2146"/>
      <c r="VK11" s="2146"/>
      <c r="VX11" s="103"/>
      <c r="VZ11" s="2146"/>
      <c r="WA11" s="2146"/>
      <c r="WN11" s="103"/>
      <c r="WP11" s="2146"/>
      <c r="WQ11" s="2146"/>
      <c r="XD11" s="103"/>
      <c r="XF11" s="2146"/>
      <c r="XG11" s="2146"/>
      <c r="XT11" s="103"/>
      <c r="XV11" s="2146"/>
      <c r="XW11" s="2146"/>
      <c r="YJ11" s="103"/>
      <c r="YL11" s="2146"/>
      <c r="YM11" s="2146"/>
      <c r="YZ11" s="103"/>
      <c r="ZB11" s="2146"/>
      <c r="ZC11" s="2146"/>
      <c r="ZP11" s="103"/>
      <c r="ZR11" s="2146"/>
      <c r="ZS11" s="2146"/>
      <c r="AAF11" s="103"/>
      <c r="AAH11" s="2146"/>
      <c r="AAI11" s="2146"/>
      <c r="AAV11" s="103"/>
      <c r="AAX11" s="2146"/>
      <c r="AAY11" s="2146"/>
      <c r="ABL11" s="103"/>
      <c r="ABN11" s="2146"/>
      <c r="ABO11" s="2146"/>
      <c r="ACB11" s="103"/>
      <c r="ACD11" s="2146"/>
      <c r="ACE11" s="2146"/>
      <c r="ACR11" s="103"/>
      <c r="ACT11" s="2146"/>
      <c r="ACU11" s="2146"/>
      <c r="ADH11" s="103"/>
      <c r="ADJ11" s="2146"/>
      <c r="ADK11" s="2146"/>
      <c r="ADX11" s="103"/>
      <c r="ADZ11" s="2146"/>
      <c r="AEA11" s="2146"/>
      <c r="AEN11" s="103"/>
      <c r="AEP11" s="2146"/>
      <c r="AEQ11" s="2146"/>
      <c r="AFD11" s="103"/>
      <c r="AFF11" s="2146"/>
      <c r="AFG11" s="2146"/>
      <c r="AFT11" s="103"/>
      <c r="AFV11" s="2146"/>
      <c r="AFW11" s="2146"/>
      <c r="AGJ11" s="103"/>
      <c r="AGL11" s="2146"/>
      <c r="AGM11" s="2146"/>
      <c r="AGZ11" s="103"/>
      <c r="AHB11" s="2146"/>
      <c r="AHC11" s="2146"/>
      <c r="AHP11" s="103"/>
      <c r="AHR11" s="2146"/>
      <c r="AHS11" s="2146"/>
      <c r="AIF11" s="103"/>
      <c r="AIH11" s="2146"/>
      <c r="AII11" s="2146"/>
      <c r="AIV11" s="103"/>
      <c r="AIX11" s="2146"/>
      <c r="AIY11" s="2146"/>
      <c r="AJL11" s="103"/>
      <c r="AJN11" s="2146"/>
      <c r="AJO11" s="2146"/>
      <c r="AKB11" s="103"/>
      <c r="AKD11" s="2146"/>
      <c r="AKE11" s="2146"/>
      <c r="AKR11" s="103"/>
      <c r="AKT11" s="2146"/>
      <c r="AKU11" s="2146"/>
      <c r="ALH11" s="103"/>
      <c r="ALJ11" s="2146"/>
      <c r="ALK11" s="2146"/>
      <c r="ALX11" s="103"/>
      <c r="ALZ11" s="2146"/>
      <c r="AMA11" s="2146"/>
      <c r="AMN11" s="103"/>
      <c r="AMP11" s="2146"/>
      <c r="AMQ11" s="2146"/>
      <c r="AND11" s="103"/>
      <c r="ANF11" s="2146"/>
      <c r="ANG11" s="2146"/>
      <c r="ANT11" s="103"/>
      <c r="ANV11" s="2146"/>
      <c r="ANW11" s="2146"/>
      <c r="AOJ11" s="103"/>
      <c r="AOL11" s="2146"/>
      <c r="AOM11" s="2146"/>
      <c r="AOZ11" s="103"/>
      <c r="APB11" s="2146"/>
      <c r="APC11" s="2146"/>
      <c r="APP11" s="103"/>
      <c r="APR11" s="2146"/>
      <c r="APS11" s="2146"/>
      <c r="AQF11" s="103"/>
      <c r="AQH11" s="2146"/>
      <c r="AQI11" s="2146"/>
      <c r="AQV11" s="103"/>
      <c r="AQX11" s="2146"/>
      <c r="AQY11" s="2146"/>
      <c r="ARL11" s="103"/>
      <c r="ARN11" s="2146"/>
      <c r="ARO11" s="2146"/>
      <c r="ASB11" s="103"/>
      <c r="ASD11" s="2146"/>
      <c r="ASE11" s="2146"/>
      <c r="ASR11" s="103"/>
      <c r="AST11" s="2146"/>
      <c r="ASU11" s="2146"/>
      <c r="ATH11" s="103"/>
      <c r="ATJ11" s="2146"/>
      <c r="ATK11" s="2146"/>
      <c r="ATX11" s="103"/>
      <c r="ATZ11" s="2146"/>
      <c r="AUA11" s="2146"/>
      <c r="AUN11" s="103"/>
      <c r="AUP11" s="2146"/>
      <c r="AUQ11" s="2146"/>
      <c r="AVD11" s="103"/>
      <c r="AVF11" s="2146"/>
      <c r="AVG11" s="2146"/>
      <c r="AVT11" s="103"/>
      <c r="AVV11" s="2146"/>
      <c r="AVW11" s="2146"/>
      <c r="AWJ11" s="103"/>
      <c r="AWL11" s="2146"/>
      <c r="AWM11" s="2146"/>
      <c r="AWZ11" s="103"/>
      <c r="AXB11" s="2146"/>
      <c r="AXC11" s="2146"/>
      <c r="AXP11" s="103"/>
      <c r="AXR11" s="2146"/>
      <c r="AXS11" s="2146"/>
      <c r="AYF11" s="103"/>
      <c r="AYH11" s="2146"/>
      <c r="AYI11" s="2146"/>
      <c r="AYV11" s="103"/>
      <c r="AYX11" s="2146"/>
      <c r="AYY11" s="2146"/>
      <c r="AZL11" s="103"/>
      <c r="AZN11" s="2146"/>
      <c r="AZO11" s="2146"/>
      <c r="BAB11" s="103"/>
      <c r="BAD11" s="2146"/>
      <c r="BAE11" s="2146"/>
      <c r="BAR11" s="103"/>
      <c r="BAT11" s="2146"/>
      <c r="BAU11" s="2146"/>
      <c r="BBH11" s="103"/>
      <c r="BBJ11" s="2146"/>
      <c r="BBK11" s="2146"/>
      <c r="BBX11" s="103"/>
      <c r="BBZ11" s="2146"/>
      <c r="BCA11" s="2146"/>
      <c r="BCN11" s="103"/>
      <c r="BCP11" s="2146"/>
      <c r="BCQ11" s="2146"/>
      <c r="BDD11" s="103"/>
      <c r="BDF11" s="2146"/>
      <c r="BDG11" s="2146"/>
      <c r="BDT11" s="103"/>
      <c r="BDV11" s="2146"/>
      <c r="BDW11" s="2146"/>
      <c r="BEJ11" s="103"/>
      <c r="BEL11" s="2146"/>
      <c r="BEM11" s="2146"/>
      <c r="BEZ11" s="103"/>
      <c r="BFB11" s="2146"/>
      <c r="BFC11" s="2146"/>
      <c r="BFP11" s="103"/>
      <c r="BFR11" s="2146"/>
      <c r="BFS11" s="2146"/>
      <c r="BGF11" s="103"/>
      <c r="BGH11" s="2146"/>
      <c r="BGI11" s="2146"/>
      <c r="BGV11" s="103"/>
      <c r="BGX11" s="2146"/>
      <c r="BGY11" s="2146"/>
      <c r="BHL11" s="103"/>
      <c r="BHN11" s="2146"/>
      <c r="BHO11" s="2146"/>
      <c r="BIB11" s="103"/>
      <c r="BID11" s="2146"/>
      <c r="BIE11" s="2146"/>
      <c r="BIR11" s="103"/>
      <c r="BIT11" s="2146"/>
      <c r="BIU11" s="2146"/>
      <c r="BJH11" s="103"/>
      <c r="BJJ11" s="2146"/>
      <c r="BJK11" s="2146"/>
      <c r="BJX11" s="103"/>
      <c r="BJZ11" s="2146"/>
      <c r="BKA11" s="2146"/>
      <c r="BKN11" s="103"/>
      <c r="BKP11" s="2146"/>
      <c r="BKQ11" s="2146"/>
      <c r="BLD11" s="103"/>
      <c r="BLF11" s="2146"/>
      <c r="BLG11" s="2146"/>
      <c r="BLT11" s="103"/>
      <c r="BLV11" s="2146"/>
      <c r="BLW11" s="2146"/>
      <c r="BMJ11" s="103"/>
      <c r="BML11" s="2146"/>
      <c r="BMM11" s="2146"/>
      <c r="BMZ11" s="103"/>
      <c r="BNB11" s="2146"/>
      <c r="BNC11" s="2146"/>
      <c r="BNP11" s="103"/>
      <c r="BNR11" s="2146"/>
      <c r="BNS11" s="2146"/>
      <c r="BOF11" s="103"/>
      <c r="BOH11" s="2146"/>
      <c r="BOI11" s="2146"/>
      <c r="BOV11" s="103"/>
      <c r="BOX11" s="2146"/>
      <c r="BOY11" s="2146"/>
      <c r="BPL11" s="103"/>
      <c r="BPN11" s="2146"/>
      <c r="BPO11" s="2146"/>
      <c r="BQB11" s="103"/>
      <c r="BQD11" s="2146"/>
      <c r="BQE11" s="2146"/>
      <c r="BQR11" s="103"/>
      <c r="BQT11" s="2146"/>
      <c r="BQU11" s="2146"/>
      <c r="BRH11" s="103"/>
      <c r="BRJ11" s="2146"/>
      <c r="BRK11" s="2146"/>
      <c r="BRX11" s="103"/>
      <c r="BRZ11" s="2146"/>
      <c r="BSA11" s="2146"/>
      <c r="BSN11" s="103"/>
      <c r="BSP11" s="2146"/>
      <c r="BSQ11" s="2146"/>
      <c r="BTD11" s="103"/>
      <c r="BTF11" s="2146"/>
      <c r="BTG11" s="2146"/>
      <c r="BTT11" s="103"/>
      <c r="BTV11" s="2146"/>
      <c r="BTW11" s="2146"/>
      <c r="BUJ11" s="103"/>
      <c r="BUL11" s="2146"/>
      <c r="BUM11" s="2146"/>
      <c r="BUZ11" s="103"/>
      <c r="BVB11" s="2146"/>
      <c r="BVC11" s="2146"/>
      <c r="BVP11" s="103"/>
      <c r="BVR11" s="2146"/>
      <c r="BVS11" s="2146"/>
      <c r="BWF11" s="103"/>
      <c r="BWH11" s="2146"/>
      <c r="BWI11" s="2146"/>
      <c r="BWV11" s="103"/>
      <c r="BWX11" s="2146"/>
      <c r="BWY11" s="2146"/>
      <c r="BXL11" s="103"/>
      <c r="BXN11" s="2146"/>
      <c r="BXO11" s="2146"/>
      <c r="BYB11" s="103"/>
      <c r="BYD11" s="2146"/>
      <c r="BYE11" s="2146"/>
      <c r="BYR11" s="103"/>
      <c r="BYT11" s="2146"/>
      <c r="BYU11" s="2146"/>
      <c r="BZH11" s="103"/>
      <c r="BZJ11" s="2146"/>
      <c r="BZK11" s="2146"/>
      <c r="BZX11" s="103"/>
      <c r="BZZ11" s="2146"/>
      <c r="CAA11" s="2146"/>
      <c r="CAN11" s="103"/>
      <c r="CAP11" s="2146"/>
      <c r="CAQ11" s="2146"/>
      <c r="CBD11" s="103"/>
      <c r="CBF11" s="2146"/>
      <c r="CBG11" s="2146"/>
      <c r="CBT11" s="103"/>
      <c r="CBV11" s="2146"/>
      <c r="CBW11" s="2146"/>
      <c r="CCJ11" s="103"/>
      <c r="CCL11" s="2146"/>
      <c r="CCM11" s="2146"/>
      <c r="CCZ11" s="103"/>
      <c r="CDB11" s="2146"/>
      <c r="CDC11" s="2146"/>
      <c r="CDP11" s="103"/>
      <c r="CDR11" s="2146"/>
      <c r="CDS11" s="2146"/>
      <c r="CEF11" s="103"/>
      <c r="CEH11" s="2146"/>
      <c r="CEI11" s="2146"/>
      <c r="CEV11" s="103"/>
      <c r="CEX11" s="2146"/>
      <c r="CEY11" s="2146"/>
      <c r="CFL11" s="103"/>
      <c r="CFN11" s="2146"/>
      <c r="CFO11" s="2146"/>
      <c r="CGB11" s="103"/>
      <c r="CGD11" s="2146"/>
      <c r="CGE11" s="2146"/>
      <c r="CGR11" s="103"/>
      <c r="CGT11" s="2146"/>
      <c r="CGU11" s="2146"/>
      <c r="CHH11" s="103"/>
      <c r="CHJ11" s="2146"/>
      <c r="CHK11" s="2146"/>
      <c r="CHX11" s="103"/>
      <c r="CHZ11" s="2146"/>
      <c r="CIA11" s="2146"/>
      <c r="CIN11" s="103"/>
      <c r="CIP11" s="2146"/>
      <c r="CIQ11" s="2146"/>
      <c r="CJD11" s="103"/>
      <c r="CJF11" s="2146"/>
      <c r="CJG11" s="2146"/>
      <c r="CJT11" s="103"/>
      <c r="CJV11" s="2146"/>
      <c r="CJW11" s="2146"/>
      <c r="CKJ11" s="103"/>
      <c r="CKL11" s="2146"/>
      <c r="CKM11" s="2146"/>
      <c r="CKZ11" s="103"/>
      <c r="CLB11" s="2146"/>
      <c r="CLC11" s="2146"/>
      <c r="CLP11" s="103"/>
      <c r="CLR11" s="2146"/>
      <c r="CLS11" s="2146"/>
      <c r="CMF11" s="103"/>
      <c r="CMH11" s="2146"/>
      <c r="CMI11" s="2146"/>
      <c r="CMV11" s="103"/>
      <c r="CMX11" s="2146"/>
      <c r="CMY11" s="2146"/>
      <c r="CNL11" s="103"/>
      <c r="CNN11" s="2146"/>
      <c r="CNO11" s="2146"/>
      <c r="COB11" s="103"/>
      <c r="COD11" s="2146"/>
      <c r="COE11" s="2146"/>
      <c r="COR11" s="103"/>
      <c r="COT11" s="2146"/>
      <c r="COU11" s="2146"/>
      <c r="CPH11" s="103"/>
      <c r="CPJ11" s="2146"/>
      <c r="CPK11" s="2146"/>
      <c r="CPX11" s="103"/>
      <c r="CPZ11" s="2146"/>
      <c r="CQA11" s="2146"/>
      <c r="CQN11" s="103"/>
      <c r="CQP11" s="2146"/>
      <c r="CQQ11" s="2146"/>
      <c r="CRD11" s="103"/>
      <c r="CRF11" s="2146"/>
      <c r="CRG11" s="2146"/>
      <c r="CRT11" s="103"/>
      <c r="CRV11" s="2146"/>
      <c r="CRW11" s="2146"/>
      <c r="CSJ11" s="103"/>
      <c r="CSL11" s="2146"/>
      <c r="CSM11" s="2146"/>
      <c r="CSZ11" s="103"/>
      <c r="CTB11" s="2146"/>
      <c r="CTC11" s="2146"/>
      <c r="CTP11" s="103"/>
      <c r="CTR11" s="2146"/>
      <c r="CTS11" s="2146"/>
      <c r="CUF11" s="103"/>
      <c r="CUH11" s="2146"/>
      <c r="CUI11" s="2146"/>
      <c r="CUV11" s="103"/>
      <c r="CUX11" s="2146"/>
      <c r="CUY11" s="2146"/>
      <c r="CVL11" s="103"/>
      <c r="CVN11" s="2146"/>
      <c r="CVO11" s="2146"/>
      <c r="CWB11" s="103"/>
      <c r="CWD11" s="2146"/>
      <c r="CWE11" s="2146"/>
      <c r="CWR11" s="103"/>
      <c r="CWT11" s="2146"/>
      <c r="CWU11" s="2146"/>
      <c r="CXH11" s="103"/>
      <c r="CXJ11" s="2146"/>
      <c r="CXK11" s="2146"/>
      <c r="CXX11" s="103"/>
      <c r="CXZ11" s="2146"/>
      <c r="CYA11" s="2146"/>
      <c r="CYN11" s="103"/>
      <c r="CYP11" s="2146"/>
      <c r="CYQ11" s="2146"/>
      <c r="CZD11" s="103"/>
      <c r="CZF11" s="2146"/>
      <c r="CZG11" s="2146"/>
      <c r="CZT11" s="103"/>
      <c r="CZV11" s="2146"/>
      <c r="CZW11" s="2146"/>
      <c r="DAJ11" s="103"/>
      <c r="DAL11" s="2146"/>
      <c r="DAM11" s="2146"/>
      <c r="DAZ11" s="103"/>
      <c r="DBB11" s="2146"/>
      <c r="DBC11" s="2146"/>
      <c r="DBP11" s="103"/>
      <c r="DBR11" s="2146"/>
      <c r="DBS11" s="2146"/>
      <c r="DCF11" s="103"/>
      <c r="DCH11" s="2146"/>
      <c r="DCI11" s="2146"/>
      <c r="DCV11" s="103"/>
      <c r="DCX11" s="2146"/>
      <c r="DCY11" s="2146"/>
      <c r="DDL11" s="103"/>
      <c r="DDN11" s="2146"/>
      <c r="DDO11" s="2146"/>
      <c r="DEB11" s="103"/>
      <c r="DED11" s="2146"/>
      <c r="DEE11" s="2146"/>
      <c r="DER11" s="103"/>
      <c r="DET11" s="2146"/>
      <c r="DEU11" s="2146"/>
      <c r="DFH11" s="103"/>
      <c r="DFJ11" s="2146"/>
      <c r="DFK11" s="2146"/>
      <c r="DFX11" s="103"/>
      <c r="DFZ11" s="2146"/>
      <c r="DGA11" s="2146"/>
      <c r="DGN11" s="103"/>
      <c r="DGP11" s="2146"/>
      <c r="DGQ11" s="2146"/>
      <c r="DHD11" s="103"/>
      <c r="DHF11" s="2146"/>
      <c r="DHG11" s="2146"/>
      <c r="DHT11" s="103"/>
      <c r="DHV11" s="2146"/>
      <c r="DHW11" s="2146"/>
      <c r="DIJ11" s="103"/>
      <c r="DIL11" s="2146"/>
      <c r="DIM11" s="2146"/>
      <c r="DIZ11" s="103"/>
      <c r="DJB11" s="2146"/>
      <c r="DJC11" s="2146"/>
      <c r="DJP11" s="103"/>
      <c r="DJR11" s="2146"/>
      <c r="DJS11" s="2146"/>
      <c r="DKF11" s="103"/>
      <c r="DKH11" s="2146"/>
      <c r="DKI11" s="2146"/>
      <c r="DKV11" s="103"/>
      <c r="DKX11" s="2146"/>
      <c r="DKY11" s="2146"/>
      <c r="DLL11" s="103"/>
      <c r="DLN11" s="2146"/>
      <c r="DLO11" s="2146"/>
      <c r="DMB11" s="103"/>
      <c r="DMD11" s="2146"/>
      <c r="DME11" s="2146"/>
      <c r="DMR11" s="103"/>
      <c r="DMT11" s="2146"/>
      <c r="DMU11" s="2146"/>
      <c r="DNH11" s="103"/>
      <c r="DNJ11" s="2146"/>
      <c r="DNK11" s="2146"/>
      <c r="DNX11" s="103"/>
      <c r="DNZ11" s="2146"/>
      <c r="DOA11" s="2146"/>
      <c r="DON11" s="103"/>
      <c r="DOP11" s="2146"/>
      <c r="DOQ11" s="2146"/>
      <c r="DPD11" s="103"/>
      <c r="DPF11" s="2146"/>
      <c r="DPG11" s="2146"/>
      <c r="DPT11" s="103"/>
      <c r="DPV11" s="2146"/>
      <c r="DPW11" s="2146"/>
      <c r="DQJ11" s="103"/>
      <c r="DQL11" s="2146"/>
      <c r="DQM11" s="2146"/>
      <c r="DQZ11" s="103"/>
      <c r="DRB11" s="2146"/>
      <c r="DRC11" s="2146"/>
      <c r="DRP11" s="103"/>
      <c r="DRR11" s="2146"/>
      <c r="DRS11" s="2146"/>
      <c r="DSF11" s="103"/>
      <c r="DSH11" s="2146"/>
      <c r="DSI11" s="2146"/>
      <c r="DSV11" s="103"/>
      <c r="DSX11" s="2146"/>
      <c r="DSY11" s="2146"/>
      <c r="DTL11" s="103"/>
      <c r="DTN11" s="2146"/>
      <c r="DTO11" s="2146"/>
      <c r="DUB11" s="103"/>
      <c r="DUD11" s="2146"/>
      <c r="DUE11" s="2146"/>
      <c r="DUR11" s="103"/>
      <c r="DUT11" s="2146"/>
      <c r="DUU11" s="2146"/>
      <c r="DVH11" s="103"/>
      <c r="DVJ11" s="2146"/>
      <c r="DVK11" s="2146"/>
      <c r="DVX11" s="103"/>
      <c r="DVZ11" s="2146"/>
      <c r="DWA11" s="2146"/>
      <c r="DWN11" s="103"/>
      <c r="DWP11" s="2146"/>
      <c r="DWQ11" s="2146"/>
      <c r="DXD11" s="103"/>
      <c r="DXF11" s="2146"/>
      <c r="DXG11" s="2146"/>
      <c r="DXT11" s="103"/>
      <c r="DXV11" s="2146"/>
      <c r="DXW11" s="2146"/>
      <c r="DYJ11" s="103"/>
      <c r="DYL11" s="2146"/>
      <c r="DYM11" s="2146"/>
      <c r="DYZ11" s="103"/>
      <c r="DZB11" s="2146"/>
      <c r="DZC11" s="2146"/>
      <c r="DZP11" s="103"/>
      <c r="DZR11" s="2146"/>
      <c r="DZS11" s="2146"/>
      <c r="EAF11" s="103"/>
      <c r="EAH11" s="2146"/>
      <c r="EAI11" s="2146"/>
      <c r="EAV11" s="103"/>
      <c r="EAX11" s="2146"/>
      <c r="EAY11" s="2146"/>
      <c r="EBL11" s="103"/>
      <c r="EBN11" s="2146"/>
      <c r="EBO11" s="2146"/>
      <c r="ECB11" s="103"/>
      <c r="ECD11" s="2146"/>
      <c r="ECE11" s="2146"/>
      <c r="ECR11" s="103"/>
      <c r="ECT11" s="2146"/>
      <c r="ECU11" s="2146"/>
      <c r="EDH11" s="103"/>
      <c r="EDJ11" s="2146"/>
      <c r="EDK11" s="2146"/>
      <c r="EDX11" s="103"/>
      <c r="EDZ11" s="2146"/>
      <c r="EEA11" s="2146"/>
      <c r="EEN11" s="103"/>
      <c r="EEP11" s="2146"/>
      <c r="EEQ11" s="2146"/>
      <c r="EFD11" s="103"/>
      <c r="EFF11" s="2146"/>
      <c r="EFG11" s="2146"/>
      <c r="EFT11" s="103"/>
      <c r="EFV11" s="2146"/>
      <c r="EFW11" s="2146"/>
      <c r="EGJ11" s="103"/>
      <c r="EGL11" s="2146"/>
      <c r="EGM11" s="2146"/>
      <c r="EGZ11" s="103"/>
      <c r="EHB11" s="2146"/>
      <c r="EHC11" s="2146"/>
      <c r="EHP11" s="103"/>
      <c r="EHR11" s="2146"/>
      <c r="EHS11" s="2146"/>
      <c r="EIF11" s="103"/>
      <c r="EIH11" s="2146"/>
      <c r="EII11" s="2146"/>
      <c r="EIV11" s="103"/>
      <c r="EIX11" s="2146"/>
      <c r="EIY11" s="2146"/>
      <c r="EJL11" s="103"/>
      <c r="EJN11" s="2146"/>
      <c r="EJO11" s="2146"/>
      <c r="EKB11" s="103"/>
      <c r="EKD11" s="2146"/>
      <c r="EKE11" s="2146"/>
      <c r="EKR11" s="103"/>
      <c r="EKT11" s="2146"/>
      <c r="EKU11" s="2146"/>
      <c r="ELH11" s="103"/>
      <c r="ELJ11" s="2146"/>
      <c r="ELK11" s="2146"/>
      <c r="ELX11" s="103"/>
      <c r="ELZ11" s="2146"/>
      <c r="EMA11" s="2146"/>
      <c r="EMN11" s="103"/>
      <c r="EMP11" s="2146"/>
      <c r="EMQ11" s="2146"/>
      <c r="END11" s="103"/>
      <c r="ENF11" s="2146"/>
      <c r="ENG11" s="2146"/>
      <c r="ENT11" s="103"/>
      <c r="ENV11" s="2146"/>
      <c r="ENW11" s="2146"/>
      <c r="EOJ11" s="103"/>
      <c r="EOL11" s="2146"/>
      <c r="EOM11" s="2146"/>
      <c r="EOZ11" s="103"/>
      <c r="EPB11" s="2146"/>
      <c r="EPC11" s="2146"/>
      <c r="EPP11" s="103"/>
      <c r="EPR11" s="2146"/>
      <c r="EPS11" s="2146"/>
      <c r="EQF11" s="103"/>
      <c r="EQH11" s="2146"/>
      <c r="EQI11" s="2146"/>
      <c r="EQV11" s="103"/>
      <c r="EQX11" s="2146"/>
      <c r="EQY11" s="2146"/>
      <c r="ERL11" s="103"/>
      <c r="ERN11" s="2146"/>
      <c r="ERO11" s="2146"/>
      <c r="ESB11" s="103"/>
      <c r="ESD11" s="2146"/>
      <c r="ESE11" s="2146"/>
      <c r="ESR11" s="103"/>
      <c r="EST11" s="2146"/>
      <c r="ESU11" s="2146"/>
      <c r="ETH11" s="103"/>
      <c r="ETJ11" s="2146"/>
      <c r="ETK11" s="2146"/>
      <c r="ETX11" s="103"/>
      <c r="ETZ11" s="2146"/>
      <c r="EUA11" s="2146"/>
      <c r="EUN11" s="103"/>
      <c r="EUP11" s="2146"/>
      <c r="EUQ11" s="2146"/>
      <c r="EVD11" s="103"/>
      <c r="EVF11" s="2146"/>
      <c r="EVG11" s="2146"/>
      <c r="EVT11" s="103"/>
      <c r="EVV11" s="2146"/>
      <c r="EVW11" s="2146"/>
      <c r="EWJ11" s="103"/>
      <c r="EWL11" s="2146"/>
      <c r="EWM11" s="2146"/>
      <c r="EWZ11" s="103"/>
      <c r="EXB11" s="2146"/>
      <c r="EXC11" s="2146"/>
      <c r="EXP11" s="103"/>
      <c r="EXR11" s="2146"/>
      <c r="EXS11" s="2146"/>
      <c r="EYF11" s="103"/>
      <c r="EYH11" s="2146"/>
      <c r="EYI11" s="2146"/>
      <c r="EYV11" s="103"/>
      <c r="EYX11" s="2146"/>
      <c r="EYY11" s="2146"/>
      <c r="EZL11" s="103"/>
      <c r="EZN11" s="2146"/>
      <c r="EZO11" s="2146"/>
      <c r="FAB11" s="103"/>
      <c r="FAD11" s="2146"/>
      <c r="FAE11" s="2146"/>
      <c r="FAR11" s="103"/>
      <c r="FAT11" s="2146"/>
      <c r="FAU11" s="2146"/>
      <c r="FBH11" s="103"/>
      <c r="FBJ11" s="2146"/>
      <c r="FBK11" s="2146"/>
      <c r="FBX11" s="103"/>
      <c r="FBZ11" s="2146"/>
      <c r="FCA11" s="2146"/>
      <c r="FCN11" s="103"/>
      <c r="FCP11" s="2146"/>
      <c r="FCQ11" s="2146"/>
      <c r="FDD11" s="103"/>
      <c r="FDF11" s="2146"/>
      <c r="FDG11" s="2146"/>
      <c r="FDT11" s="103"/>
      <c r="FDV11" s="2146"/>
      <c r="FDW11" s="2146"/>
      <c r="FEJ11" s="103"/>
      <c r="FEL11" s="2146"/>
      <c r="FEM11" s="2146"/>
      <c r="FEZ11" s="103"/>
      <c r="FFB11" s="2146"/>
      <c r="FFC11" s="2146"/>
      <c r="FFP11" s="103"/>
      <c r="FFR11" s="2146"/>
      <c r="FFS11" s="2146"/>
      <c r="FGF11" s="103"/>
      <c r="FGH11" s="2146"/>
      <c r="FGI11" s="2146"/>
      <c r="FGV11" s="103"/>
      <c r="FGX11" s="2146"/>
      <c r="FGY11" s="2146"/>
      <c r="FHL11" s="103"/>
      <c r="FHN11" s="2146"/>
      <c r="FHO11" s="2146"/>
      <c r="FIB11" s="103"/>
      <c r="FID11" s="2146"/>
      <c r="FIE11" s="2146"/>
      <c r="FIR11" s="103"/>
      <c r="FIT11" s="2146"/>
      <c r="FIU11" s="2146"/>
      <c r="FJH11" s="103"/>
      <c r="FJJ11" s="2146"/>
      <c r="FJK11" s="2146"/>
      <c r="FJX11" s="103"/>
      <c r="FJZ11" s="2146"/>
      <c r="FKA11" s="2146"/>
      <c r="FKN11" s="103"/>
      <c r="FKP11" s="2146"/>
      <c r="FKQ11" s="2146"/>
      <c r="FLD11" s="103"/>
      <c r="FLF11" s="2146"/>
      <c r="FLG11" s="2146"/>
      <c r="FLT11" s="103"/>
      <c r="FLV11" s="2146"/>
      <c r="FLW11" s="2146"/>
      <c r="FMJ11" s="103"/>
      <c r="FML11" s="2146"/>
      <c r="FMM11" s="2146"/>
      <c r="FMZ11" s="103"/>
      <c r="FNB11" s="2146"/>
      <c r="FNC11" s="2146"/>
      <c r="FNP11" s="103"/>
      <c r="FNR11" s="2146"/>
      <c r="FNS11" s="2146"/>
      <c r="FOF11" s="103"/>
      <c r="FOH11" s="2146"/>
      <c r="FOI11" s="2146"/>
      <c r="FOV11" s="103"/>
      <c r="FOX11" s="2146"/>
      <c r="FOY11" s="2146"/>
      <c r="FPL11" s="103"/>
      <c r="FPN11" s="2146"/>
      <c r="FPO11" s="2146"/>
      <c r="FQB11" s="103"/>
      <c r="FQD11" s="2146"/>
      <c r="FQE11" s="2146"/>
      <c r="FQR11" s="103"/>
      <c r="FQT11" s="2146"/>
      <c r="FQU11" s="2146"/>
      <c r="FRH11" s="103"/>
      <c r="FRJ11" s="2146"/>
      <c r="FRK11" s="2146"/>
      <c r="FRX11" s="103"/>
      <c r="FRZ11" s="2146"/>
      <c r="FSA11" s="2146"/>
      <c r="FSN11" s="103"/>
      <c r="FSP11" s="2146"/>
      <c r="FSQ11" s="2146"/>
      <c r="FTD11" s="103"/>
      <c r="FTF11" s="2146"/>
      <c r="FTG11" s="2146"/>
      <c r="FTT11" s="103"/>
      <c r="FTV11" s="2146"/>
      <c r="FTW11" s="2146"/>
      <c r="FUJ11" s="103"/>
      <c r="FUL11" s="2146"/>
      <c r="FUM11" s="2146"/>
      <c r="FUZ11" s="103"/>
      <c r="FVB11" s="2146"/>
      <c r="FVC11" s="2146"/>
      <c r="FVP11" s="103"/>
      <c r="FVR11" s="2146"/>
      <c r="FVS11" s="2146"/>
      <c r="FWF11" s="103"/>
      <c r="FWH11" s="2146"/>
      <c r="FWI11" s="2146"/>
      <c r="FWV11" s="103"/>
      <c r="FWX11" s="2146"/>
      <c r="FWY11" s="2146"/>
      <c r="FXL11" s="103"/>
      <c r="FXN11" s="2146"/>
      <c r="FXO11" s="2146"/>
      <c r="FYB11" s="103"/>
      <c r="FYD11" s="2146"/>
      <c r="FYE11" s="2146"/>
      <c r="FYR11" s="103"/>
      <c r="FYT11" s="2146"/>
      <c r="FYU11" s="2146"/>
      <c r="FZH11" s="103"/>
      <c r="FZJ11" s="2146"/>
      <c r="FZK11" s="2146"/>
      <c r="FZX11" s="103"/>
      <c r="FZZ11" s="2146"/>
      <c r="GAA11" s="2146"/>
      <c r="GAN11" s="103"/>
      <c r="GAP11" s="2146"/>
      <c r="GAQ11" s="2146"/>
      <c r="GBD11" s="103"/>
      <c r="GBF11" s="2146"/>
      <c r="GBG11" s="2146"/>
      <c r="GBT11" s="103"/>
      <c r="GBV11" s="2146"/>
      <c r="GBW11" s="2146"/>
      <c r="GCJ11" s="103"/>
      <c r="GCL11" s="2146"/>
      <c r="GCM11" s="2146"/>
      <c r="GCZ11" s="103"/>
      <c r="GDB11" s="2146"/>
      <c r="GDC11" s="2146"/>
      <c r="GDP11" s="103"/>
      <c r="GDR11" s="2146"/>
      <c r="GDS11" s="2146"/>
      <c r="GEF11" s="103"/>
      <c r="GEH11" s="2146"/>
      <c r="GEI11" s="2146"/>
      <c r="GEV11" s="103"/>
      <c r="GEX11" s="2146"/>
      <c r="GEY11" s="2146"/>
      <c r="GFL11" s="103"/>
      <c r="GFN11" s="2146"/>
      <c r="GFO11" s="2146"/>
      <c r="GGB11" s="103"/>
      <c r="GGD11" s="2146"/>
      <c r="GGE11" s="2146"/>
      <c r="GGR11" s="103"/>
      <c r="GGT11" s="2146"/>
      <c r="GGU11" s="2146"/>
      <c r="GHH11" s="103"/>
      <c r="GHJ11" s="2146"/>
      <c r="GHK11" s="2146"/>
      <c r="GHX11" s="103"/>
      <c r="GHZ11" s="2146"/>
      <c r="GIA11" s="2146"/>
      <c r="GIN11" s="103"/>
      <c r="GIP11" s="2146"/>
      <c r="GIQ11" s="2146"/>
      <c r="GJD11" s="103"/>
      <c r="GJF11" s="2146"/>
      <c r="GJG11" s="2146"/>
      <c r="GJT11" s="103"/>
      <c r="GJV11" s="2146"/>
      <c r="GJW11" s="2146"/>
      <c r="GKJ11" s="103"/>
      <c r="GKL11" s="2146"/>
      <c r="GKM11" s="2146"/>
      <c r="GKZ11" s="103"/>
      <c r="GLB11" s="2146"/>
      <c r="GLC11" s="2146"/>
      <c r="GLP11" s="103"/>
      <c r="GLR11" s="2146"/>
      <c r="GLS11" s="2146"/>
      <c r="GMF11" s="103"/>
      <c r="GMH11" s="2146"/>
      <c r="GMI11" s="2146"/>
      <c r="GMV11" s="103"/>
      <c r="GMX11" s="2146"/>
      <c r="GMY11" s="2146"/>
      <c r="GNL11" s="103"/>
      <c r="GNN11" s="2146"/>
      <c r="GNO11" s="2146"/>
      <c r="GOB11" s="103"/>
      <c r="GOD11" s="2146"/>
      <c r="GOE11" s="2146"/>
      <c r="GOR11" s="103"/>
      <c r="GOT11" s="2146"/>
      <c r="GOU11" s="2146"/>
      <c r="GPH11" s="103"/>
      <c r="GPJ11" s="2146"/>
      <c r="GPK11" s="2146"/>
      <c r="GPX11" s="103"/>
      <c r="GPZ11" s="2146"/>
      <c r="GQA11" s="2146"/>
      <c r="GQN11" s="103"/>
      <c r="GQP11" s="2146"/>
      <c r="GQQ11" s="2146"/>
      <c r="GRD11" s="103"/>
      <c r="GRF11" s="2146"/>
      <c r="GRG11" s="2146"/>
      <c r="GRT11" s="103"/>
      <c r="GRV11" s="2146"/>
      <c r="GRW11" s="2146"/>
      <c r="GSJ11" s="103"/>
      <c r="GSL11" s="2146"/>
      <c r="GSM11" s="2146"/>
      <c r="GSZ11" s="103"/>
      <c r="GTB11" s="2146"/>
      <c r="GTC11" s="2146"/>
      <c r="GTP11" s="103"/>
      <c r="GTR11" s="2146"/>
      <c r="GTS11" s="2146"/>
      <c r="GUF11" s="103"/>
      <c r="GUH11" s="2146"/>
      <c r="GUI11" s="2146"/>
      <c r="GUV11" s="103"/>
      <c r="GUX11" s="2146"/>
      <c r="GUY11" s="2146"/>
      <c r="GVL11" s="103"/>
      <c r="GVN11" s="2146"/>
      <c r="GVO11" s="2146"/>
      <c r="GWB11" s="103"/>
      <c r="GWD11" s="2146"/>
      <c r="GWE11" s="2146"/>
      <c r="GWR11" s="103"/>
      <c r="GWT11" s="2146"/>
      <c r="GWU11" s="2146"/>
      <c r="GXH11" s="103"/>
      <c r="GXJ11" s="2146"/>
      <c r="GXK11" s="2146"/>
      <c r="GXX11" s="103"/>
      <c r="GXZ11" s="2146"/>
      <c r="GYA11" s="2146"/>
      <c r="GYN11" s="103"/>
      <c r="GYP11" s="2146"/>
      <c r="GYQ11" s="2146"/>
      <c r="GZD11" s="103"/>
      <c r="GZF11" s="2146"/>
      <c r="GZG11" s="2146"/>
      <c r="GZT11" s="103"/>
      <c r="GZV11" s="2146"/>
      <c r="GZW11" s="2146"/>
      <c r="HAJ11" s="103"/>
      <c r="HAL11" s="2146"/>
      <c r="HAM11" s="2146"/>
      <c r="HAZ11" s="103"/>
      <c r="HBB11" s="2146"/>
      <c r="HBC11" s="2146"/>
      <c r="HBP11" s="103"/>
      <c r="HBR11" s="2146"/>
      <c r="HBS11" s="2146"/>
      <c r="HCF11" s="103"/>
      <c r="HCH11" s="2146"/>
      <c r="HCI11" s="2146"/>
      <c r="HCV11" s="103"/>
      <c r="HCX11" s="2146"/>
      <c r="HCY11" s="2146"/>
      <c r="HDL11" s="103"/>
      <c r="HDN11" s="2146"/>
      <c r="HDO11" s="2146"/>
      <c r="HEB11" s="103"/>
      <c r="HED11" s="2146"/>
      <c r="HEE11" s="2146"/>
      <c r="HER11" s="103"/>
      <c r="HET11" s="2146"/>
      <c r="HEU11" s="2146"/>
      <c r="HFH11" s="103"/>
      <c r="HFJ11" s="2146"/>
      <c r="HFK11" s="2146"/>
      <c r="HFX11" s="103"/>
      <c r="HFZ11" s="2146"/>
      <c r="HGA11" s="2146"/>
      <c r="HGN11" s="103"/>
      <c r="HGP11" s="2146"/>
      <c r="HGQ11" s="2146"/>
      <c r="HHD11" s="103"/>
      <c r="HHF11" s="2146"/>
      <c r="HHG11" s="2146"/>
      <c r="HHT11" s="103"/>
      <c r="HHV11" s="2146"/>
      <c r="HHW11" s="2146"/>
      <c r="HIJ11" s="103"/>
      <c r="HIL11" s="2146"/>
      <c r="HIM11" s="2146"/>
      <c r="HIZ11" s="103"/>
      <c r="HJB11" s="2146"/>
      <c r="HJC11" s="2146"/>
      <c r="HJP11" s="103"/>
      <c r="HJR11" s="2146"/>
      <c r="HJS11" s="2146"/>
      <c r="HKF11" s="103"/>
      <c r="HKH11" s="2146"/>
      <c r="HKI11" s="2146"/>
      <c r="HKV11" s="103"/>
      <c r="HKX11" s="2146"/>
      <c r="HKY11" s="2146"/>
      <c r="HLL11" s="103"/>
      <c r="HLN11" s="2146"/>
      <c r="HLO11" s="2146"/>
      <c r="HMB11" s="103"/>
      <c r="HMD11" s="2146"/>
      <c r="HME11" s="2146"/>
      <c r="HMR11" s="103"/>
      <c r="HMT11" s="2146"/>
      <c r="HMU11" s="2146"/>
      <c r="HNH11" s="103"/>
      <c r="HNJ11" s="2146"/>
      <c r="HNK11" s="2146"/>
      <c r="HNX11" s="103"/>
      <c r="HNZ11" s="2146"/>
      <c r="HOA11" s="2146"/>
      <c r="HON11" s="103"/>
      <c r="HOP11" s="2146"/>
      <c r="HOQ11" s="2146"/>
      <c r="HPD11" s="103"/>
      <c r="HPF11" s="2146"/>
      <c r="HPG11" s="2146"/>
      <c r="HPT11" s="103"/>
      <c r="HPV11" s="2146"/>
      <c r="HPW11" s="2146"/>
      <c r="HQJ11" s="103"/>
      <c r="HQL11" s="2146"/>
      <c r="HQM11" s="2146"/>
      <c r="HQZ11" s="103"/>
      <c r="HRB11" s="2146"/>
      <c r="HRC11" s="2146"/>
      <c r="HRP11" s="103"/>
      <c r="HRR11" s="2146"/>
      <c r="HRS11" s="2146"/>
      <c r="HSF11" s="103"/>
      <c r="HSH11" s="2146"/>
      <c r="HSI11" s="2146"/>
      <c r="HSV11" s="103"/>
      <c r="HSX11" s="2146"/>
      <c r="HSY11" s="2146"/>
      <c r="HTL11" s="103"/>
      <c r="HTN11" s="2146"/>
      <c r="HTO11" s="2146"/>
      <c r="HUB11" s="103"/>
      <c r="HUD11" s="2146"/>
      <c r="HUE11" s="2146"/>
      <c r="HUR11" s="103"/>
      <c r="HUT11" s="2146"/>
      <c r="HUU11" s="2146"/>
      <c r="HVH11" s="103"/>
      <c r="HVJ11" s="2146"/>
      <c r="HVK11" s="2146"/>
      <c r="HVX11" s="103"/>
      <c r="HVZ11" s="2146"/>
      <c r="HWA11" s="2146"/>
      <c r="HWN11" s="103"/>
      <c r="HWP11" s="2146"/>
      <c r="HWQ11" s="2146"/>
      <c r="HXD11" s="103"/>
      <c r="HXF11" s="2146"/>
      <c r="HXG11" s="2146"/>
      <c r="HXT11" s="103"/>
      <c r="HXV11" s="2146"/>
      <c r="HXW11" s="2146"/>
      <c r="HYJ11" s="103"/>
      <c r="HYL11" s="2146"/>
      <c r="HYM11" s="2146"/>
      <c r="HYZ11" s="103"/>
      <c r="HZB11" s="2146"/>
      <c r="HZC11" s="2146"/>
      <c r="HZP11" s="103"/>
      <c r="HZR11" s="2146"/>
      <c r="HZS11" s="2146"/>
      <c r="IAF11" s="103"/>
      <c r="IAH11" s="2146"/>
      <c r="IAI11" s="2146"/>
      <c r="IAV11" s="103"/>
      <c r="IAX11" s="2146"/>
      <c r="IAY11" s="2146"/>
      <c r="IBL11" s="103"/>
      <c r="IBN11" s="2146"/>
      <c r="IBO11" s="2146"/>
      <c r="ICB11" s="103"/>
      <c r="ICD11" s="2146"/>
      <c r="ICE11" s="2146"/>
      <c r="ICR11" s="103"/>
      <c r="ICT11" s="2146"/>
      <c r="ICU11" s="2146"/>
      <c r="IDH11" s="103"/>
      <c r="IDJ11" s="2146"/>
      <c r="IDK11" s="2146"/>
      <c r="IDX11" s="103"/>
      <c r="IDZ11" s="2146"/>
      <c r="IEA11" s="2146"/>
      <c r="IEN11" s="103"/>
      <c r="IEP11" s="2146"/>
      <c r="IEQ11" s="2146"/>
      <c r="IFD11" s="103"/>
      <c r="IFF11" s="2146"/>
      <c r="IFG11" s="2146"/>
      <c r="IFT11" s="103"/>
      <c r="IFV11" s="2146"/>
      <c r="IFW11" s="2146"/>
      <c r="IGJ11" s="103"/>
      <c r="IGL11" s="2146"/>
      <c r="IGM11" s="2146"/>
      <c r="IGZ11" s="103"/>
      <c r="IHB11" s="2146"/>
      <c r="IHC11" s="2146"/>
      <c r="IHP11" s="103"/>
      <c r="IHR11" s="2146"/>
      <c r="IHS11" s="2146"/>
      <c r="IIF11" s="103"/>
      <c r="IIH11" s="2146"/>
      <c r="III11" s="2146"/>
      <c r="IIV11" s="103"/>
      <c r="IIX11" s="2146"/>
      <c r="IIY11" s="2146"/>
      <c r="IJL11" s="103"/>
      <c r="IJN11" s="2146"/>
      <c r="IJO11" s="2146"/>
      <c r="IKB11" s="103"/>
      <c r="IKD11" s="2146"/>
      <c r="IKE11" s="2146"/>
      <c r="IKR11" s="103"/>
      <c r="IKT11" s="2146"/>
      <c r="IKU11" s="2146"/>
      <c r="ILH11" s="103"/>
      <c r="ILJ11" s="2146"/>
      <c r="ILK11" s="2146"/>
      <c r="ILX11" s="103"/>
      <c r="ILZ11" s="2146"/>
      <c r="IMA11" s="2146"/>
      <c r="IMN11" s="103"/>
      <c r="IMP11" s="2146"/>
      <c r="IMQ11" s="2146"/>
      <c r="IND11" s="103"/>
      <c r="INF11" s="2146"/>
      <c r="ING11" s="2146"/>
      <c r="INT11" s="103"/>
      <c r="INV11" s="2146"/>
      <c r="INW11" s="2146"/>
      <c r="IOJ11" s="103"/>
      <c r="IOL11" s="2146"/>
      <c r="IOM11" s="2146"/>
      <c r="IOZ11" s="103"/>
      <c r="IPB11" s="2146"/>
      <c r="IPC11" s="2146"/>
      <c r="IPP11" s="103"/>
      <c r="IPR11" s="2146"/>
      <c r="IPS11" s="2146"/>
      <c r="IQF11" s="103"/>
      <c r="IQH11" s="2146"/>
      <c r="IQI11" s="2146"/>
      <c r="IQV11" s="103"/>
      <c r="IQX11" s="2146"/>
      <c r="IQY11" s="2146"/>
      <c r="IRL11" s="103"/>
      <c r="IRN11" s="2146"/>
      <c r="IRO11" s="2146"/>
      <c r="ISB11" s="103"/>
      <c r="ISD11" s="2146"/>
      <c r="ISE11" s="2146"/>
      <c r="ISR11" s="103"/>
      <c r="IST11" s="2146"/>
      <c r="ISU11" s="2146"/>
      <c r="ITH11" s="103"/>
      <c r="ITJ11" s="2146"/>
      <c r="ITK11" s="2146"/>
      <c r="ITX11" s="103"/>
      <c r="ITZ11" s="2146"/>
      <c r="IUA11" s="2146"/>
      <c r="IUN11" s="103"/>
      <c r="IUP11" s="2146"/>
      <c r="IUQ11" s="2146"/>
      <c r="IVD11" s="103"/>
      <c r="IVF11" s="2146"/>
      <c r="IVG11" s="2146"/>
      <c r="IVT11" s="103"/>
      <c r="IVV11" s="2146"/>
      <c r="IVW11" s="2146"/>
      <c r="IWJ11" s="103"/>
      <c r="IWL11" s="2146"/>
      <c r="IWM11" s="2146"/>
      <c r="IWZ11" s="103"/>
      <c r="IXB11" s="2146"/>
      <c r="IXC11" s="2146"/>
      <c r="IXP11" s="103"/>
      <c r="IXR11" s="2146"/>
      <c r="IXS11" s="2146"/>
      <c r="IYF11" s="103"/>
      <c r="IYH11" s="2146"/>
      <c r="IYI11" s="2146"/>
      <c r="IYV11" s="103"/>
      <c r="IYX11" s="2146"/>
      <c r="IYY11" s="2146"/>
      <c r="IZL11" s="103"/>
      <c r="IZN11" s="2146"/>
      <c r="IZO11" s="2146"/>
      <c r="JAB11" s="103"/>
      <c r="JAD11" s="2146"/>
      <c r="JAE11" s="2146"/>
      <c r="JAR11" s="103"/>
      <c r="JAT11" s="2146"/>
      <c r="JAU11" s="2146"/>
      <c r="JBH11" s="103"/>
      <c r="JBJ11" s="2146"/>
      <c r="JBK11" s="2146"/>
      <c r="JBX11" s="103"/>
      <c r="JBZ11" s="2146"/>
      <c r="JCA11" s="2146"/>
      <c r="JCN11" s="103"/>
      <c r="JCP11" s="2146"/>
      <c r="JCQ11" s="2146"/>
      <c r="JDD11" s="103"/>
      <c r="JDF11" s="2146"/>
      <c r="JDG11" s="2146"/>
      <c r="JDT11" s="103"/>
      <c r="JDV11" s="2146"/>
      <c r="JDW11" s="2146"/>
      <c r="JEJ11" s="103"/>
      <c r="JEL11" s="2146"/>
      <c r="JEM11" s="2146"/>
      <c r="JEZ11" s="103"/>
      <c r="JFB11" s="2146"/>
      <c r="JFC11" s="2146"/>
      <c r="JFP11" s="103"/>
      <c r="JFR11" s="2146"/>
      <c r="JFS11" s="2146"/>
      <c r="JGF11" s="103"/>
      <c r="JGH11" s="2146"/>
      <c r="JGI11" s="2146"/>
      <c r="JGV11" s="103"/>
      <c r="JGX11" s="2146"/>
      <c r="JGY11" s="2146"/>
      <c r="JHL11" s="103"/>
      <c r="JHN11" s="2146"/>
      <c r="JHO11" s="2146"/>
      <c r="JIB11" s="103"/>
      <c r="JID11" s="2146"/>
      <c r="JIE11" s="2146"/>
      <c r="JIR11" s="103"/>
      <c r="JIT11" s="2146"/>
      <c r="JIU11" s="2146"/>
      <c r="JJH11" s="103"/>
      <c r="JJJ11" s="2146"/>
      <c r="JJK11" s="2146"/>
      <c r="JJX11" s="103"/>
      <c r="JJZ11" s="2146"/>
      <c r="JKA11" s="2146"/>
      <c r="JKN11" s="103"/>
      <c r="JKP11" s="2146"/>
      <c r="JKQ11" s="2146"/>
      <c r="JLD11" s="103"/>
      <c r="JLF11" s="2146"/>
      <c r="JLG11" s="2146"/>
      <c r="JLT11" s="103"/>
      <c r="JLV11" s="2146"/>
      <c r="JLW11" s="2146"/>
      <c r="JMJ11" s="103"/>
      <c r="JML11" s="2146"/>
      <c r="JMM11" s="2146"/>
      <c r="JMZ11" s="103"/>
      <c r="JNB11" s="2146"/>
      <c r="JNC11" s="2146"/>
      <c r="JNP11" s="103"/>
      <c r="JNR11" s="2146"/>
      <c r="JNS11" s="2146"/>
      <c r="JOF11" s="103"/>
      <c r="JOH11" s="2146"/>
      <c r="JOI11" s="2146"/>
      <c r="JOV11" s="103"/>
      <c r="JOX11" s="2146"/>
      <c r="JOY11" s="2146"/>
      <c r="JPL11" s="103"/>
      <c r="JPN11" s="2146"/>
      <c r="JPO11" s="2146"/>
      <c r="JQB11" s="103"/>
      <c r="JQD11" s="2146"/>
      <c r="JQE11" s="2146"/>
      <c r="JQR11" s="103"/>
      <c r="JQT11" s="2146"/>
      <c r="JQU11" s="2146"/>
      <c r="JRH11" s="103"/>
      <c r="JRJ11" s="2146"/>
      <c r="JRK11" s="2146"/>
      <c r="JRX11" s="103"/>
      <c r="JRZ11" s="2146"/>
      <c r="JSA11" s="2146"/>
      <c r="JSN11" s="103"/>
      <c r="JSP11" s="2146"/>
      <c r="JSQ11" s="2146"/>
      <c r="JTD11" s="103"/>
      <c r="JTF11" s="2146"/>
      <c r="JTG11" s="2146"/>
      <c r="JTT11" s="103"/>
      <c r="JTV11" s="2146"/>
      <c r="JTW11" s="2146"/>
      <c r="JUJ11" s="103"/>
      <c r="JUL11" s="2146"/>
      <c r="JUM11" s="2146"/>
      <c r="JUZ11" s="103"/>
      <c r="JVB11" s="2146"/>
      <c r="JVC11" s="2146"/>
      <c r="JVP11" s="103"/>
      <c r="JVR11" s="2146"/>
      <c r="JVS11" s="2146"/>
      <c r="JWF11" s="103"/>
      <c r="JWH11" s="2146"/>
      <c r="JWI11" s="2146"/>
      <c r="JWV11" s="103"/>
      <c r="JWX11" s="2146"/>
      <c r="JWY11" s="2146"/>
      <c r="JXL11" s="103"/>
      <c r="JXN11" s="2146"/>
      <c r="JXO11" s="2146"/>
      <c r="JYB11" s="103"/>
      <c r="JYD11" s="2146"/>
      <c r="JYE11" s="2146"/>
      <c r="JYR11" s="103"/>
      <c r="JYT11" s="2146"/>
      <c r="JYU11" s="2146"/>
      <c r="JZH11" s="103"/>
      <c r="JZJ11" s="2146"/>
      <c r="JZK11" s="2146"/>
      <c r="JZX11" s="103"/>
      <c r="JZZ11" s="2146"/>
      <c r="KAA11" s="2146"/>
      <c r="KAN11" s="103"/>
      <c r="KAP11" s="2146"/>
      <c r="KAQ11" s="2146"/>
      <c r="KBD11" s="103"/>
      <c r="KBF11" s="2146"/>
      <c r="KBG11" s="2146"/>
      <c r="KBT11" s="103"/>
      <c r="KBV11" s="2146"/>
      <c r="KBW11" s="2146"/>
      <c r="KCJ11" s="103"/>
      <c r="KCL11" s="2146"/>
      <c r="KCM11" s="2146"/>
      <c r="KCZ11" s="103"/>
      <c r="KDB11" s="2146"/>
      <c r="KDC11" s="2146"/>
      <c r="KDP11" s="103"/>
      <c r="KDR11" s="2146"/>
      <c r="KDS11" s="2146"/>
      <c r="KEF11" s="103"/>
      <c r="KEH11" s="2146"/>
      <c r="KEI11" s="2146"/>
      <c r="KEV11" s="103"/>
      <c r="KEX11" s="2146"/>
      <c r="KEY11" s="2146"/>
      <c r="KFL11" s="103"/>
      <c r="KFN11" s="2146"/>
      <c r="KFO11" s="2146"/>
      <c r="KGB11" s="103"/>
      <c r="KGD11" s="2146"/>
      <c r="KGE11" s="2146"/>
      <c r="KGR11" s="103"/>
      <c r="KGT11" s="2146"/>
      <c r="KGU11" s="2146"/>
      <c r="KHH11" s="103"/>
      <c r="KHJ11" s="2146"/>
      <c r="KHK11" s="2146"/>
      <c r="KHX11" s="103"/>
      <c r="KHZ11" s="2146"/>
      <c r="KIA11" s="2146"/>
      <c r="KIN11" s="103"/>
      <c r="KIP11" s="2146"/>
      <c r="KIQ11" s="2146"/>
      <c r="KJD11" s="103"/>
      <c r="KJF11" s="2146"/>
      <c r="KJG11" s="2146"/>
      <c r="KJT11" s="103"/>
      <c r="KJV11" s="2146"/>
      <c r="KJW11" s="2146"/>
      <c r="KKJ11" s="103"/>
      <c r="KKL11" s="2146"/>
      <c r="KKM11" s="2146"/>
      <c r="KKZ11" s="103"/>
      <c r="KLB11" s="2146"/>
      <c r="KLC11" s="2146"/>
      <c r="KLP11" s="103"/>
      <c r="KLR11" s="2146"/>
      <c r="KLS11" s="2146"/>
      <c r="KMF11" s="103"/>
      <c r="KMH11" s="2146"/>
      <c r="KMI11" s="2146"/>
      <c r="KMV11" s="103"/>
      <c r="KMX11" s="2146"/>
      <c r="KMY11" s="2146"/>
      <c r="KNL11" s="103"/>
      <c r="KNN11" s="2146"/>
      <c r="KNO11" s="2146"/>
      <c r="KOB11" s="103"/>
      <c r="KOD11" s="2146"/>
      <c r="KOE11" s="2146"/>
      <c r="KOR11" s="103"/>
      <c r="KOT11" s="2146"/>
      <c r="KOU11" s="2146"/>
      <c r="KPH11" s="103"/>
      <c r="KPJ11" s="2146"/>
      <c r="KPK11" s="2146"/>
      <c r="KPX11" s="103"/>
      <c r="KPZ11" s="2146"/>
      <c r="KQA11" s="2146"/>
      <c r="KQN11" s="103"/>
      <c r="KQP11" s="2146"/>
      <c r="KQQ11" s="2146"/>
      <c r="KRD11" s="103"/>
      <c r="KRF11" s="2146"/>
      <c r="KRG11" s="2146"/>
      <c r="KRT11" s="103"/>
      <c r="KRV11" s="2146"/>
      <c r="KRW11" s="2146"/>
      <c r="KSJ11" s="103"/>
      <c r="KSL11" s="2146"/>
      <c r="KSM11" s="2146"/>
      <c r="KSZ11" s="103"/>
      <c r="KTB11" s="2146"/>
      <c r="KTC11" s="2146"/>
      <c r="KTP11" s="103"/>
      <c r="KTR11" s="2146"/>
      <c r="KTS11" s="2146"/>
      <c r="KUF11" s="103"/>
      <c r="KUH11" s="2146"/>
      <c r="KUI11" s="2146"/>
      <c r="KUV11" s="103"/>
      <c r="KUX11" s="2146"/>
      <c r="KUY11" s="2146"/>
      <c r="KVL11" s="103"/>
      <c r="KVN11" s="2146"/>
      <c r="KVO11" s="2146"/>
      <c r="KWB11" s="103"/>
      <c r="KWD11" s="2146"/>
      <c r="KWE11" s="2146"/>
      <c r="KWR11" s="103"/>
      <c r="KWT11" s="2146"/>
      <c r="KWU11" s="2146"/>
      <c r="KXH11" s="103"/>
      <c r="KXJ11" s="2146"/>
      <c r="KXK11" s="2146"/>
      <c r="KXX11" s="103"/>
      <c r="KXZ11" s="2146"/>
      <c r="KYA11" s="2146"/>
      <c r="KYN11" s="103"/>
      <c r="KYP11" s="2146"/>
      <c r="KYQ11" s="2146"/>
      <c r="KZD11" s="103"/>
      <c r="KZF11" s="2146"/>
      <c r="KZG11" s="2146"/>
      <c r="KZT11" s="103"/>
      <c r="KZV11" s="2146"/>
      <c r="KZW11" s="2146"/>
      <c r="LAJ11" s="103"/>
      <c r="LAL11" s="2146"/>
      <c r="LAM11" s="2146"/>
      <c r="LAZ11" s="103"/>
      <c r="LBB11" s="2146"/>
      <c r="LBC11" s="2146"/>
      <c r="LBP11" s="103"/>
      <c r="LBR11" s="2146"/>
      <c r="LBS11" s="2146"/>
      <c r="LCF11" s="103"/>
      <c r="LCH11" s="2146"/>
      <c r="LCI11" s="2146"/>
      <c r="LCV11" s="103"/>
      <c r="LCX11" s="2146"/>
      <c r="LCY11" s="2146"/>
      <c r="LDL11" s="103"/>
      <c r="LDN11" s="2146"/>
      <c r="LDO11" s="2146"/>
      <c r="LEB11" s="103"/>
      <c r="LED11" s="2146"/>
      <c r="LEE11" s="2146"/>
      <c r="LER11" s="103"/>
      <c r="LET11" s="2146"/>
      <c r="LEU11" s="2146"/>
      <c r="LFH11" s="103"/>
      <c r="LFJ11" s="2146"/>
      <c r="LFK11" s="2146"/>
      <c r="LFX11" s="103"/>
      <c r="LFZ11" s="2146"/>
      <c r="LGA11" s="2146"/>
      <c r="LGN11" s="103"/>
      <c r="LGP11" s="2146"/>
      <c r="LGQ11" s="2146"/>
      <c r="LHD11" s="103"/>
      <c r="LHF11" s="2146"/>
      <c r="LHG11" s="2146"/>
      <c r="LHT11" s="103"/>
      <c r="LHV11" s="2146"/>
      <c r="LHW11" s="2146"/>
      <c r="LIJ11" s="103"/>
      <c r="LIL11" s="2146"/>
      <c r="LIM11" s="2146"/>
      <c r="LIZ11" s="103"/>
      <c r="LJB11" s="2146"/>
      <c r="LJC11" s="2146"/>
      <c r="LJP11" s="103"/>
      <c r="LJR11" s="2146"/>
      <c r="LJS11" s="2146"/>
      <c r="LKF11" s="103"/>
      <c r="LKH11" s="2146"/>
      <c r="LKI11" s="2146"/>
      <c r="LKV11" s="103"/>
      <c r="LKX11" s="2146"/>
      <c r="LKY11" s="2146"/>
      <c r="LLL11" s="103"/>
      <c r="LLN11" s="2146"/>
      <c r="LLO11" s="2146"/>
      <c r="LMB11" s="103"/>
      <c r="LMD11" s="2146"/>
      <c r="LME11" s="2146"/>
      <c r="LMR11" s="103"/>
      <c r="LMT11" s="2146"/>
      <c r="LMU11" s="2146"/>
      <c r="LNH11" s="103"/>
      <c r="LNJ11" s="2146"/>
      <c r="LNK11" s="2146"/>
      <c r="LNX11" s="103"/>
      <c r="LNZ11" s="2146"/>
      <c r="LOA11" s="2146"/>
      <c r="LON11" s="103"/>
      <c r="LOP11" s="2146"/>
      <c r="LOQ11" s="2146"/>
      <c r="LPD11" s="103"/>
      <c r="LPF11" s="2146"/>
      <c r="LPG11" s="2146"/>
      <c r="LPT11" s="103"/>
      <c r="LPV11" s="2146"/>
      <c r="LPW11" s="2146"/>
      <c r="LQJ11" s="103"/>
      <c r="LQL11" s="2146"/>
      <c r="LQM11" s="2146"/>
      <c r="LQZ11" s="103"/>
      <c r="LRB11" s="2146"/>
      <c r="LRC11" s="2146"/>
      <c r="LRP11" s="103"/>
      <c r="LRR11" s="2146"/>
      <c r="LRS11" s="2146"/>
      <c r="LSF11" s="103"/>
      <c r="LSH11" s="2146"/>
      <c r="LSI11" s="2146"/>
      <c r="LSV11" s="103"/>
      <c r="LSX11" s="2146"/>
      <c r="LSY11" s="2146"/>
      <c r="LTL11" s="103"/>
      <c r="LTN11" s="2146"/>
      <c r="LTO11" s="2146"/>
      <c r="LUB11" s="103"/>
      <c r="LUD11" s="2146"/>
      <c r="LUE11" s="2146"/>
      <c r="LUR11" s="103"/>
      <c r="LUT11" s="2146"/>
      <c r="LUU11" s="2146"/>
      <c r="LVH11" s="103"/>
      <c r="LVJ11" s="2146"/>
      <c r="LVK11" s="2146"/>
      <c r="LVX11" s="103"/>
      <c r="LVZ11" s="2146"/>
      <c r="LWA11" s="2146"/>
      <c r="LWN11" s="103"/>
      <c r="LWP11" s="2146"/>
      <c r="LWQ11" s="2146"/>
      <c r="LXD11" s="103"/>
      <c r="LXF11" s="2146"/>
      <c r="LXG11" s="2146"/>
      <c r="LXT11" s="103"/>
      <c r="LXV11" s="2146"/>
      <c r="LXW11" s="2146"/>
      <c r="LYJ11" s="103"/>
      <c r="LYL11" s="2146"/>
      <c r="LYM11" s="2146"/>
      <c r="LYZ11" s="103"/>
      <c r="LZB11" s="2146"/>
      <c r="LZC11" s="2146"/>
      <c r="LZP11" s="103"/>
      <c r="LZR11" s="2146"/>
      <c r="LZS11" s="2146"/>
      <c r="MAF11" s="103"/>
      <c r="MAH11" s="2146"/>
      <c r="MAI11" s="2146"/>
      <c r="MAV11" s="103"/>
      <c r="MAX11" s="2146"/>
      <c r="MAY11" s="2146"/>
      <c r="MBL11" s="103"/>
      <c r="MBN11" s="2146"/>
      <c r="MBO11" s="2146"/>
      <c r="MCB11" s="103"/>
      <c r="MCD11" s="2146"/>
      <c r="MCE11" s="2146"/>
      <c r="MCR11" s="103"/>
      <c r="MCT11" s="2146"/>
      <c r="MCU11" s="2146"/>
      <c r="MDH11" s="103"/>
      <c r="MDJ11" s="2146"/>
      <c r="MDK11" s="2146"/>
      <c r="MDX11" s="103"/>
      <c r="MDZ11" s="2146"/>
      <c r="MEA11" s="2146"/>
      <c r="MEN11" s="103"/>
      <c r="MEP11" s="2146"/>
      <c r="MEQ11" s="2146"/>
      <c r="MFD11" s="103"/>
      <c r="MFF11" s="2146"/>
      <c r="MFG11" s="2146"/>
      <c r="MFT11" s="103"/>
      <c r="MFV11" s="2146"/>
      <c r="MFW11" s="2146"/>
      <c r="MGJ11" s="103"/>
      <c r="MGL11" s="2146"/>
      <c r="MGM11" s="2146"/>
      <c r="MGZ11" s="103"/>
      <c r="MHB11" s="2146"/>
      <c r="MHC11" s="2146"/>
      <c r="MHP11" s="103"/>
      <c r="MHR11" s="2146"/>
      <c r="MHS11" s="2146"/>
      <c r="MIF11" s="103"/>
      <c r="MIH11" s="2146"/>
      <c r="MII11" s="2146"/>
      <c r="MIV11" s="103"/>
      <c r="MIX11" s="2146"/>
      <c r="MIY11" s="2146"/>
      <c r="MJL11" s="103"/>
      <c r="MJN11" s="2146"/>
      <c r="MJO11" s="2146"/>
      <c r="MKB11" s="103"/>
      <c r="MKD11" s="2146"/>
      <c r="MKE11" s="2146"/>
      <c r="MKR11" s="103"/>
      <c r="MKT11" s="2146"/>
      <c r="MKU11" s="2146"/>
      <c r="MLH11" s="103"/>
      <c r="MLJ11" s="2146"/>
      <c r="MLK11" s="2146"/>
      <c r="MLX11" s="103"/>
      <c r="MLZ11" s="2146"/>
      <c r="MMA11" s="2146"/>
      <c r="MMN11" s="103"/>
      <c r="MMP11" s="2146"/>
      <c r="MMQ11" s="2146"/>
      <c r="MND11" s="103"/>
      <c r="MNF11" s="2146"/>
      <c r="MNG11" s="2146"/>
      <c r="MNT11" s="103"/>
      <c r="MNV11" s="2146"/>
      <c r="MNW11" s="2146"/>
      <c r="MOJ11" s="103"/>
      <c r="MOL11" s="2146"/>
      <c r="MOM11" s="2146"/>
      <c r="MOZ11" s="103"/>
      <c r="MPB11" s="2146"/>
      <c r="MPC11" s="2146"/>
      <c r="MPP11" s="103"/>
      <c r="MPR11" s="2146"/>
      <c r="MPS11" s="2146"/>
      <c r="MQF11" s="103"/>
      <c r="MQH11" s="2146"/>
      <c r="MQI11" s="2146"/>
      <c r="MQV11" s="103"/>
      <c r="MQX11" s="2146"/>
      <c r="MQY11" s="2146"/>
      <c r="MRL11" s="103"/>
      <c r="MRN11" s="2146"/>
      <c r="MRO11" s="2146"/>
      <c r="MSB11" s="103"/>
      <c r="MSD11" s="2146"/>
      <c r="MSE11" s="2146"/>
      <c r="MSR11" s="103"/>
      <c r="MST11" s="2146"/>
      <c r="MSU11" s="2146"/>
      <c r="MTH11" s="103"/>
      <c r="MTJ11" s="2146"/>
      <c r="MTK11" s="2146"/>
      <c r="MTX11" s="103"/>
      <c r="MTZ11" s="2146"/>
      <c r="MUA11" s="2146"/>
      <c r="MUN11" s="103"/>
      <c r="MUP11" s="2146"/>
      <c r="MUQ11" s="2146"/>
      <c r="MVD11" s="103"/>
      <c r="MVF11" s="2146"/>
      <c r="MVG11" s="2146"/>
      <c r="MVT11" s="103"/>
      <c r="MVV11" s="2146"/>
      <c r="MVW11" s="2146"/>
      <c r="MWJ11" s="103"/>
      <c r="MWL11" s="2146"/>
      <c r="MWM11" s="2146"/>
      <c r="MWZ11" s="103"/>
      <c r="MXB11" s="2146"/>
      <c r="MXC11" s="2146"/>
      <c r="MXP11" s="103"/>
      <c r="MXR11" s="2146"/>
      <c r="MXS11" s="2146"/>
      <c r="MYF11" s="103"/>
      <c r="MYH11" s="2146"/>
      <c r="MYI11" s="2146"/>
      <c r="MYV11" s="103"/>
      <c r="MYX11" s="2146"/>
      <c r="MYY11" s="2146"/>
      <c r="MZL11" s="103"/>
      <c r="MZN11" s="2146"/>
      <c r="MZO11" s="2146"/>
      <c r="NAB11" s="103"/>
      <c r="NAD11" s="2146"/>
      <c r="NAE11" s="2146"/>
      <c r="NAR11" s="103"/>
      <c r="NAT11" s="2146"/>
      <c r="NAU11" s="2146"/>
      <c r="NBH11" s="103"/>
      <c r="NBJ11" s="2146"/>
      <c r="NBK11" s="2146"/>
      <c r="NBX11" s="103"/>
      <c r="NBZ11" s="2146"/>
      <c r="NCA11" s="2146"/>
      <c r="NCN11" s="103"/>
      <c r="NCP11" s="2146"/>
      <c r="NCQ11" s="2146"/>
      <c r="NDD11" s="103"/>
      <c r="NDF11" s="2146"/>
      <c r="NDG11" s="2146"/>
      <c r="NDT11" s="103"/>
      <c r="NDV11" s="2146"/>
      <c r="NDW11" s="2146"/>
      <c r="NEJ11" s="103"/>
      <c r="NEL11" s="2146"/>
      <c r="NEM11" s="2146"/>
      <c r="NEZ11" s="103"/>
      <c r="NFB11" s="2146"/>
      <c r="NFC11" s="2146"/>
      <c r="NFP11" s="103"/>
      <c r="NFR11" s="2146"/>
      <c r="NFS11" s="2146"/>
      <c r="NGF11" s="103"/>
      <c r="NGH11" s="2146"/>
      <c r="NGI11" s="2146"/>
      <c r="NGV11" s="103"/>
      <c r="NGX11" s="2146"/>
      <c r="NGY11" s="2146"/>
      <c r="NHL11" s="103"/>
      <c r="NHN11" s="2146"/>
      <c r="NHO11" s="2146"/>
      <c r="NIB11" s="103"/>
      <c r="NID11" s="2146"/>
      <c r="NIE11" s="2146"/>
      <c r="NIR11" s="103"/>
      <c r="NIT11" s="2146"/>
      <c r="NIU11" s="2146"/>
      <c r="NJH11" s="103"/>
      <c r="NJJ11" s="2146"/>
      <c r="NJK11" s="2146"/>
      <c r="NJX11" s="103"/>
      <c r="NJZ11" s="2146"/>
      <c r="NKA11" s="2146"/>
      <c r="NKN11" s="103"/>
      <c r="NKP11" s="2146"/>
      <c r="NKQ11" s="2146"/>
      <c r="NLD11" s="103"/>
      <c r="NLF11" s="2146"/>
      <c r="NLG11" s="2146"/>
      <c r="NLT11" s="103"/>
      <c r="NLV11" s="2146"/>
      <c r="NLW11" s="2146"/>
      <c r="NMJ11" s="103"/>
      <c r="NML11" s="2146"/>
      <c r="NMM11" s="2146"/>
      <c r="NMZ11" s="103"/>
      <c r="NNB11" s="2146"/>
      <c r="NNC11" s="2146"/>
      <c r="NNP11" s="103"/>
      <c r="NNR11" s="2146"/>
      <c r="NNS11" s="2146"/>
      <c r="NOF11" s="103"/>
      <c r="NOH11" s="2146"/>
      <c r="NOI11" s="2146"/>
      <c r="NOV11" s="103"/>
      <c r="NOX11" s="2146"/>
      <c r="NOY11" s="2146"/>
      <c r="NPL11" s="103"/>
      <c r="NPN11" s="2146"/>
      <c r="NPO11" s="2146"/>
      <c r="NQB11" s="103"/>
      <c r="NQD11" s="2146"/>
      <c r="NQE11" s="2146"/>
      <c r="NQR11" s="103"/>
      <c r="NQT11" s="2146"/>
      <c r="NQU11" s="2146"/>
      <c r="NRH11" s="103"/>
      <c r="NRJ11" s="2146"/>
      <c r="NRK11" s="2146"/>
      <c r="NRX11" s="103"/>
      <c r="NRZ11" s="2146"/>
      <c r="NSA11" s="2146"/>
      <c r="NSN11" s="103"/>
      <c r="NSP11" s="2146"/>
      <c r="NSQ11" s="2146"/>
      <c r="NTD11" s="103"/>
      <c r="NTF11" s="2146"/>
      <c r="NTG11" s="2146"/>
      <c r="NTT11" s="103"/>
      <c r="NTV11" s="2146"/>
      <c r="NTW11" s="2146"/>
      <c r="NUJ11" s="103"/>
      <c r="NUL11" s="2146"/>
      <c r="NUM11" s="2146"/>
      <c r="NUZ11" s="103"/>
      <c r="NVB11" s="2146"/>
      <c r="NVC11" s="2146"/>
      <c r="NVP11" s="103"/>
      <c r="NVR11" s="2146"/>
      <c r="NVS11" s="2146"/>
      <c r="NWF11" s="103"/>
      <c r="NWH11" s="2146"/>
      <c r="NWI11" s="2146"/>
      <c r="NWV11" s="103"/>
      <c r="NWX11" s="2146"/>
      <c r="NWY11" s="2146"/>
      <c r="NXL11" s="103"/>
      <c r="NXN11" s="2146"/>
      <c r="NXO11" s="2146"/>
      <c r="NYB11" s="103"/>
      <c r="NYD11" s="2146"/>
      <c r="NYE11" s="2146"/>
      <c r="NYR11" s="103"/>
      <c r="NYT11" s="2146"/>
      <c r="NYU11" s="2146"/>
      <c r="NZH11" s="103"/>
      <c r="NZJ11" s="2146"/>
      <c r="NZK11" s="2146"/>
      <c r="NZX11" s="103"/>
      <c r="NZZ11" s="2146"/>
      <c r="OAA11" s="2146"/>
      <c r="OAN11" s="103"/>
      <c r="OAP11" s="2146"/>
      <c r="OAQ11" s="2146"/>
      <c r="OBD11" s="103"/>
      <c r="OBF11" s="2146"/>
      <c r="OBG11" s="2146"/>
      <c r="OBT11" s="103"/>
      <c r="OBV11" s="2146"/>
      <c r="OBW11" s="2146"/>
      <c r="OCJ11" s="103"/>
      <c r="OCL11" s="2146"/>
      <c r="OCM11" s="2146"/>
      <c r="OCZ11" s="103"/>
      <c r="ODB11" s="2146"/>
      <c r="ODC11" s="2146"/>
      <c r="ODP11" s="103"/>
      <c r="ODR11" s="2146"/>
      <c r="ODS11" s="2146"/>
      <c r="OEF11" s="103"/>
      <c r="OEH11" s="2146"/>
      <c r="OEI11" s="2146"/>
      <c r="OEV11" s="103"/>
      <c r="OEX11" s="2146"/>
      <c r="OEY11" s="2146"/>
      <c r="OFL11" s="103"/>
      <c r="OFN11" s="2146"/>
      <c r="OFO11" s="2146"/>
      <c r="OGB11" s="103"/>
      <c r="OGD11" s="2146"/>
      <c r="OGE11" s="2146"/>
      <c r="OGR11" s="103"/>
      <c r="OGT11" s="2146"/>
      <c r="OGU11" s="2146"/>
      <c r="OHH11" s="103"/>
      <c r="OHJ11" s="2146"/>
      <c r="OHK11" s="2146"/>
      <c r="OHX11" s="103"/>
      <c r="OHZ11" s="2146"/>
      <c r="OIA11" s="2146"/>
      <c r="OIN11" s="103"/>
      <c r="OIP11" s="2146"/>
      <c r="OIQ11" s="2146"/>
      <c r="OJD11" s="103"/>
      <c r="OJF11" s="2146"/>
      <c r="OJG11" s="2146"/>
      <c r="OJT11" s="103"/>
      <c r="OJV11" s="2146"/>
      <c r="OJW11" s="2146"/>
      <c r="OKJ11" s="103"/>
      <c r="OKL11" s="2146"/>
      <c r="OKM11" s="2146"/>
      <c r="OKZ11" s="103"/>
      <c r="OLB11" s="2146"/>
      <c r="OLC11" s="2146"/>
      <c r="OLP11" s="103"/>
      <c r="OLR11" s="2146"/>
      <c r="OLS11" s="2146"/>
      <c r="OMF11" s="103"/>
      <c r="OMH11" s="2146"/>
      <c r="OMI11" s="2146"/>
      <c r="OMV11" s="103"/>
      <c r="OMX11" s="2146"/>
      <c r="OMY11" s="2146"/>
      <c r="ONL11" s="103"/>
      <c r="ONN11" s="2146"/>
      <c r="ONO11" s="2146"/>
      <c r="OOB11" s="103"/>
      <c r="OOD11" s="2146"/>
      <c r="OOE11" s="2146"/>
      <c r="OOR11" s="103"/>
      <c r="OOT11" s="2146"/>
      <c r="OOU11" s="2146"/>
      <c r="OPH11" s="103"/>
      <c r="OPJ11" s="2146"/>
      <c r="OPK11" s="2146"/>
      <c r="OPX11" s="103"/>
      <c r="OPZ11" s="2146"/>
      <c r="OQA11" s="2146"/>
      <c r="OQN11" s="103"/>
      <c r="OQP11" s="2146"/>
      <c r="OQQ11" s="2146"/>
      <c r="ORD11" s="103"/>
      <c r="ORF11" s="2146"/>
      <c r="ORG11" s="2146"/>
      <c r="ORT11" s="103"/>
      <c r="ORV11" s="2146"/>
      <c r="ORW11" s="2146"/>
      <c r="OSJ11" s="103"/>
      <c r="OSL11" s="2146"/>
      <c r="OSM11" s="2146"/>
      <c r="OSZ11" s="103"/>
      <c r="OTB11" s="2146"/>
      <c r="OTC11" s="2146"/>
      <c r="OTP11" s="103"/>
      <c r="OTR11" s="2146"/>
      <c r="OTS11" s="2146"/>
      <c r="OUF11" s="103"/>
      <c r="OUH11" s="2146"/>
      <c r="OUI11" s="2146"/>
      <c r="OUV11" s="103"/>
      <c r="OUX11" s="2146"/>
      <c r="OUY11" s="2146"/>
      <c r="OVL11" s="103"/>
      <c r="OVN11" s="2146"/>
      <c r="OVO11" s="2146"/>
      <c r="OWB11" s="103"/>
      <c r="OWD11" s="2146"/>
      <c r="OWE11" s="2146"/>
      <c r="OWR11" s="103"/>
      <c r="OWT11" s="2146"/>
      <c r="OWU11" s="2146"/>
      <c r="OXH11" s="103"/>
      <c r="OXJ11" s="2146"/>
      <c r="OXK11" s="2146"/>
      <c r="OXX11" s="103"/>
      <c r="OXZ11" s="2146"/>
      <c r="OYA11" s="2146"/>
      <c r="OYN11" s="103"/>
      <c r="OYP11" s="2146"/>
      <c r="OYQ11" s="2146"/>
      <c r="OZD11" s="103"/>
      <c r="OZF11" s="2146"/>
      <c r="OZG11" s="2146"/>
      <c r="OZT11" s="103"/>
      <c r="OZV11" s="2146"/>
      <c r="OZW11" s="2146"/>
      <c r="PAJ11" s="103"/>
      <c r="PAL11" s="2146"/>
      <c r="PAM11" s="2146"/>
      <c r="PAZ11" s="103"/>
      <c r="PBB11" s="2146"/>
      <c r="PBC11" s="2146"/>
      <c r="PBP11" s="103"/>
      <c r="PBR11" s="2146"/>
      <c r="PBS11" s="2146"/>
      <c r="PCF11" s="103"/>
      <c r="PCH11" s="2146"/>
      <c r="PCI11" s="2146"/>
      <c r="PCV11" s="103"/>
      <c r="PCX11" s="2146"/>
      <c r="PCY11" s="2146"/>
      <c r="PDL11" s="103"/>
      <c r="PDN11" s="2146"/>
      <c r="PDO11" s="2146"/>
      <c r="PEB11" s="103"/>
      <c r="PED11" s="2146"/>
      <c r="PEE11" s="2146"/>
      <c r="PER11" s="103"/>
      <c r="PET11" s="2146"/>
      <c r="PEU11" s="2146"/>
      <c r="PFH11" s="103"/>
      <c r="PFJ11" s="2146"/>
      <c r="PFK11" s="2146"/>
      <c r="PFX11" s="103"/>
      <c r="PFZ11" s="2146"/>
      <c r="PGA11" s="2146"/>
      <c r="PGN11" s="103"/>
      <c r="PGP11" s="2146"/>
      <c r="PGQ11" s="2146"/>
      <c r="PHD11" s="103"/>
      <c r="PHF11" s="2146"/>
      <c r="PHG11" s="2146"/>
      <c r="PHT11" s="103"/>
      <c r="PHV11" s="2146"/>
      <c r="PHW11" s="2146"/>
      <c r="PIJ11" s="103"/>
      <c r="PIL11" s="2146"/>
      <c r="PIM11" s="2146"/>
      <c r="PIZ11" s="103"/>
      <c r="PJB11" s="2146"/>
      <c r="PJC11" s="2146"/>
      <c r="PJP11" s="103"/>
      <c r="PJR11" s="2146"/>
      <c r="PJS11" s="2146"/>
      <c r="PKF11" s="103"/>
      <c r="PKH11" s="2146"/>
      <c r="PKI11" s="2146"/>
      <c r="PKV11" s="103"/>
      <c r="PKX11" s="2146"/>
      <c r="PKY11" s="2146"/>
      <c r="PLL11" s="103"/>
      <c r="PLN11" s="2146"/>
      <c r="PLO11" s="2146"/>
      <c r="PMB11" s="103"/>
      <c r="PMD11" s="2146"/>
      <c r="PME11" s="2146"/>
      <c r="PMR11" s="103"/>
      <c r="PMT11" s="2146"/>
      <c r="PMU11" s="2146"/>
      <c r="PNH11" s="103"/>
      <c r="PNJ11" s="2146"/>
      <c r="PNK11" s="2146"/>
      <c r="PNX11" s="103"/>
      <c r="PNZ11" s="2146"/>
      <c r="POA11" s="2146"/>
      <c r="PON11" s="103"/>
      <c r="POP11" s="2146"/>
      <c r="POQ11" s="2146"/>
      <c r="PPD11" s="103"/>
      <c r="PPF11" s="2146"/>
      <c r="PPG11" s="2146"/>
      <c r="PPT11" s="103"/>
      <c r="PPV11" s="2146"/>
      <c r="PPW11" s="2146"/>
      <c r="PQJ11" s="103"/>
      <c r="PQL11" s="2146"/>
      <c r="PQM11" s="2146"/>
      <c r="PQZ11" s="103"/>
      <c r="PRB11" s="2146"/>
      <c r="PRC11" s="2146"/>
      <c r="PRP11" s="103"/>
      <c r="PRR11" s="2146"/>
      <c r="PRS11" s="2146"/>
      <c r="PSF11" s="103"/>
      <c r="PSH11" s="2146"/>
      <c r="PSI11" s="2146"/>
      <c r="PSV11" s="103"/>
      <c r="PSX11" s="2146"/>
      <c r="PSY11" s="2146"/>
      <c r="PTL11" s="103"/>
      <c r="PTN11" s="2146"/>
      <c r="PTO11" s="2146"/>
      <c r="PUB11" s="103"/>
      <c r="PUD11" s="2146"/>
      <c r="PUE11" s="2146"/>
      <c r="PUR11" s="103"/>
      <c r="PUT11" s="2146"/>
      <c r="PUU11" s="2146"/>
      <c r="PVH11" s="103"/>
      <c r="PVJ11" s="2146"/>
      <c r="PVK11" s="2146"/>
      <c r="PVX11" s="103"/>
      <c r="PVZ11" s="2146"/>
      <c r="PWA11" s="2146"/>
      <c r="PWN11" s="103"/>
      <c r="PWP11" s="2146"/>
      <c r="PWQ11" s="2146"/>
      <c r="PXD11" s="103"/>
      <c r="PXF11" s="2146"/>
      <c r="PXG11" s="2146"/>
      <c r="PXT11" s="103"/>
      <c r="PXV11" s="2146"/>
      <c r="PXW11" s="2146"/>
      <c r="PYJ11" s="103"/>
      <c r="PYL11" s="2146"/>
      <c r="PYM11" s="2146"/>
      <c r="PYZ11" s="103"/>
      <c r="PZB11" s="2146"/>
      <c r="PZC11" s="2146"/>
      <c r="PZP11" s="103"/>
      <c r="PZR11" s="2146"/>
      <c r="PZS11" s="2146"/>
      <c r="QAF11" s="103"/>
      <c r="QAH11" s="2146"/>
      <c r="QAI11" s="2146"/>
      <c r="QAV11" s="103"/>
      <c r="QAX11" s="2146"/>
      <c r="QAY11" s="2146"/>
      <c r="QBL11" s="103"/>
      <c r="QBN11" s="2146"/>
      <c r="QBO11" s="2146"/>
      <c r="QCB11" s="103"/>
      <c r="QCD11" s="2146"/>
      <c r="QCE11" s="2146"/>
      <c r="QCR11" s="103"/>
      <c r="QCT11" s="2146"/>
      <c r="QCU11" s="2146"/>
      <c r="QDH11" s="103"/>
      <c r="QDJ11" s="2146"/>
      <c r="QDK11" s="2146"/>
      <c r="QDX11" s="103"/>
      <c r="QDZ11" s="2146"/>
      <c r="QEA11" s="2146"/>
      <c r="QEN11" s="103"/>
      <c r="QEP11" s="2146"/>
      <c r="QEQ11" s="2146"/>
      <c r="QFD11" s="103"/>
      <c r="QFF11" s="2146"/>
      <c r="QFG11" s="2146"/>
      <c r="QFT11" s="103"/>
      <c r="QFV11" s="2146"/>
      <c r="QFW11" s="2146"/>
      <c r="QGJ11" s="103"/>
      <c r="QGL11" s="2146"/>
      <c r="QGM11" s="2146"/>
      <c r="QGZ11" s="103"/>
      <c r="QHB11" s="2146"/>
      <c r="QHC11" s="2146"/>
      <c r="QHP11" s="103"/>
      <c r="QHR11" s="2146"/>
      <c r="QHS11" s="2146"/>
      <c r="QIF11" s="103"/>
      <c r="QIH11" s="2146"/>
      <c r="QII11" s="2146"/>
      <c r="QIV11" s="103"/>
      <c r="QIX11" s="2146"/>
      <c r="QIY11" s="2146"/>
      <c r="QJL11" s="103"/>
      <c r="QJN11" s="2146"/>
      <c r="QJO11" s="2146"/>
      <c r="QKB11" s="103"/>
      <c r="QKD11" s="2146"/>
      <c r="QKE11" s="2146"/>
      <c r="QKR11" s="103"/>
      <c r="QKT11" s="2146"/>
      <c r="QKU11" s="2146"/>
      <c r="QLH11" s="103"/>
      <c r="QLJ11" s="2146"/>
      <c r="QLK11" s="2146"/>
      <c r="QLX11" s="103"/>
      <c r="QLZ11" s="2146"/>
      <c r="QMA11" s="2146"/>
      <c r="QMN11" s="103"/>
      <c r="QMP11" s="2146"/>
      <c r="QMQ11" s="2146"/>
      <c r="QND11" s="103"/>
      <c r="QNF11" s="2146"/>
      <c r="QNG11" s="2146"/>
      <c r="QNT11" s="103"/>
      <c r="QNV11" s="2146"/>
      <c r="QNW11" s="2146"/>
      <c r="QOJ11" s="103"/>
      <c r="QOL11" s="2146"/>
      <c r="QOM11" s="2146"/>
      <c r="QOZ11" s="103"/>
      <c r="QPB11" s="2146"/>
      <c r="QPC11" s="2146"/>
      <c r="QPP11" s="103"/>
      <c r="QPR11" s="2146"/>
      <c r="QPS11" s="2146"/>
      <c r="QQF11" s="103"/>
      <c r="QQH11" s="2146"/>
      <c r="QQI11" s="2146"/>
      <c r="QQV11" s="103"/>
      <c r="QQX11" s="2146"/>
      <c r="QQY11" s="2146"/>
      <c r="QRL11" s="103"/>
      <c r="QRN11" s="2146"/>
      <c r="QRO11" s="2146"/>
      <c r="QSB11" s="103"/>
      <c r="QSD11" s="2146"/>
      <c r="QSE11" s="2146"/>
      <c r="QSR11" s="103"/>
      <c r="QST11" s="2146"/>
      <c r="QSU11" s="2146"/>
      <c r="QTH11" s="103"/>
      <c r="QTJ11" s="2146"/>
      <c r="QTK11" s="2146"/>
      <c r="QTX11" s="103"/>
      <c r="QTZ11" s="2146"/>
      <c r="QUA11" s="2146"/>
      <c r="QUN11" s="103"/>
      <c r="QUP11" s="2146"/>
      <c r="QUQ11" s="2146"/>
      <c r="QVD11" s="103"/>
      <c r="QVF11" s="2146"/>
      <c r="QVG11" s="2146"/>
      <c r="QVT11" s="103"/>
      <c r="QVV11" s="2146"/>
      <c r="QVW11" s="2146"/>
      <c r="QWJ11" s="103"/>
      <c r="QWL11" s="2146"/>
      <c r="QWM11" s="2146"/>
      <c r="QWZ11" s="103"/>
      <c r="QXB11" s="2146"/>
      <c r="QXC11" s="2146"/>
      <c r="QXP11" s="103"/>
      <c r="QXR11" s="2146"/>
      <c r="QXS11" s="2146"/>
      <c r="QYF11" s="103"/>
      <c r="QYH11" s="2146"/>
      <c r="QYI11" s="2146"/>
      <c r="QYV11" s="103"/>
      <c r="QYX11" s="2146"/>
      <c r="QYY11" s="2146"/>
      <c r="QZL11" s="103"/>
      <c r="QZN11" s="2146"/>
      <c r="QZO11" s="2146"/>
      <c r="RAB11" s="103"/>
      <c r="RAD11" s="2146"/>
      <c r="RAE11" s="2146"/>
      <c r="RAR11" s="103"/>
      <c r="RAT11" s="2146"/>
      <c r="RAU11" s="2146"/>
      <c r="RBH11" s="103"/>
      <c r="RBJ11" s="2146"/>
      <c r="RBK11" s="2146"/>
      <c r="RBX11" s="103"/>
      <c r="RBZ11" s="2146"/>
      <c r="RCA11" s="2146"/>
      <c r="RCN11" s="103"/>
      <c r="RCP11" s="2146"/>
      <c r="RCQ11" s="2146"/>
      <c r="RDD11" s="103"/>
      <c r="RDF11" s="2146"/>
      <c r="RDG11" s="2146"/>
      <c r="RDT11" s="103"/>
      <c r="RDV11" s="2146"/>
      <c r="RDW11" s="2146"/>
      <c r="REJ11" s="103"/>
      <c r="REL11" s="2146"/>
      <c r="REM11" s="2146"/>
      <c r="REZ11" s="103"/>
      <c r="RFB11" s="2146"/>
      <c r="RFC11" s="2146"/>
      <c r="RFP11" s="103"/>
      <c r="RFR11" s="2146"/>
      <c r="RFS11" s="2146"/>
      <c r="RGF11" s="103"/>
      <c r="RGH11" s="2146"/>
      <c r="RGI11" s="2146"/>
      <c r="RGV11" s="103"/>
      <c r="RGX11" s="2146"/>
      <c r="RGY11" s="2146"/>
      <c r="RHL11" s="103"/>
      <c r="RHN11" s="2146"/>
      <c r="RHO11" s="2146"/>
      <c r="RIB11" s="103"/>
      <c r="RID11" s="2146"/>
      <c r="RIE11" s="2146"/>
      <c r="RIR11" s="103"/>
      <c r="RIT11" s="2146"/>
      <c r="RIU11" s="2146"/>
      <c r="RJH11" s="103"/>
      <c r="RJJ11" s="2146"/>
      <c r="RJK11" s="2146"/>
      <c r="RJX11" s="103"/>
      <c r="RJZ11" s="2146"/>
      <c r="RKA11" s="2146"/>
      <c r="RKN11" s="103"/>
      <c r="RKP11" s="2146"/>
      <c r="RKQ11" s="2146"/>
      <c r="RLD11" s="103"/>
      <c r="RLF11" s="2146"/>
      <c r="RLG11" s="2146"/>
      <c r="RLT11" s="103"/>
      <c r="RLV11" s="2146"/>
      <c r="RLW11" s="2146"/>
      <c r="RMJ11" s="103"/>
      <c r="RML11" s="2146"/>
      <c r="RMM11" s="2146"/>
      <c r="RMZ11" s="103"/>
      <c r="RNB11" s="2146"/>
      <c r="RNC11" s="2146"/>
      <c r="RNP11" s="103"/>
      <c r="RNR11" s="2146"/>
      <c r="RNS11" s="2146"/>
      <c r="ROF11" s="103"/>
      <c r="ROH11" s="2146"/>
      <c r="ROI11" s="2146"/>
      <c r="ROV11" s="103"/>
      <c r="ROX11" s="2146"/>
      <c r="ROY11" s="2146"/>
      <c r="RPL11" s="103"/>
      <c r="RPN11" s="2146"/>
      <c r="RPO11" s="2146"/>
      <c r="RQB11" s="103"/>
      <c r="RQD11" s="2146"/>
      <c r="RQE11" s="2146"/>
      <c r="RQR11" s="103"/>
      <c r="RQT11" s="2146"/>
      <c r="RQU11" s="2146"/>
      <c r="RRH11" s="103"/>
      <c r="RRJ11" s="2146"/>
      <c r="RRK11" s="2146"/>
      <c r="RRX11" s="103"/>
      <c r="RRZ11" s="2146"/>
      <c r="RSA11" s="2146"/>
      <c r="RSN11" s="103"/>
      <c r="RSP11" s="2146"/>
      <c r="RSQ11" s="2146"/>
      <c r="RTD11" s="103"/>
      <c r="RTF11" s="2146"/>
      <c r="RTG11" s="2146"/>
      <c r="RTT11" s="103"/>
      <c r="RTV11" s="2146"/>
      <c r="RTW11" s="2146"/>
      <c r="RUJ11" s="103"/>
      <c r="RUL11" s="2146"/>
      <c r="RUM11" s="2146"/>
      <c r="RUZ11" s="103"/>
      <c r="RVB11" s="2146"/>
      <c r="RVC11" s="2146"/>
      <c r="RVP11" s="103"/>
      <c r="RVR11" s="2146"/>
      <c r="RVS11" s="2146"/>
      <c r="RWF11" s="103"/>
      <c r="RWH11" s="2146"/>
      <c r="RWI11" s="2146"/>
      <c r="RWV11" s="103"/>
      <c r="RWX11" s="2146"/>
      <c r="RWY11" s="2146"/>
      <c r="RXL11" s="103"/>
      <c r="RXN11" s="2146"/>
      <c r="RXO11" s="2146"/>
      <c r="RYB11" s="103"/>
      <c r="RYD11" s="2146"/>
      <c r="RYE11" s="2146"/>
      <c r="RYR11" s="103"/>
      <c r="RYT11" s="2146"/>
      <c r="RYU11" s="2146"/>
      <c r="RZH11" s="103"/>
      <c r="RZJ11" s="2146"/>
      <c r="RZK11" s="2146"/>
      <c r="RZX11" s="103"/>
      <c r="RZZ11" s="2146"/>
      <c r="SAA11" s="2146"/>
      <c r="SAN11" s="103"/>
      <c r="SAP11" s="2146"/>
      <c r="SAQ11" s="2146"/>
      <c r="SBD11" s="103"/>
      <c r="SBF11" s="2146"/>
      <c r="SBG11" s="2146"/>
      <c r="SBT11" s="103"/>
      <c r="SBV11" s="2146"/>
      <c r="SBW11" s="2146"/>
      <c r="SCJ11" s="103"/>
      <c r="SCL11" s="2146"/>
      <c r="SCM11" s="2146"/>
      <c r="SCZ11" s="103"/>
      <c r="SDB11" s="2146"/>
      <c r="SDC11" s="2146"/>
      <c r="SDP11" s="103"/>
      <c r="SDR11" s="2146"/>
      <c r="SDS11" s="2146"/>
      <c r="SEF11" s="103"/>
      <c r="SEH11" s="2146"/>
      <c r="SEI11" s="2146"/>
      <c r="SEV11" s="103"/>
      <c r="SEX11" s="2146"/>
      <c r="SEY11" s="2146"/>
      <c r="SFL11" s="103"/>
      <c r="SFN11" s="2146"/>
      <c r="SFO11" s="2146"/>
      <c r="SGB11" s="103"/>
      <c r="SGD11" s="2146"/>
      <c r="SGE11" s="2146"/>
      <c r="SGR11" s="103"/>
      <c r="SGT11" s="2146"/>
      <c r="SGU11" s="2146"/>
      <c r="SHH11" s="103"/>
      <c r="SHJ11" s="2146"/>
      <c r="SHK11" s="2146"/>
      <c r="SHX11" s="103"/>
      <c r="SHZ11" s="2146"/>
      <c r="SIA11" s="2146"/>
      <c r="SIN11" s="103"/>
      <c r="SIP11" s="2146"/>
      <c r="SIQ11" s="2146"/>
      <c r="SJD11" s="103"/>
      <c r="SJF11" s="2146"/>
      <c r="SJG11" s="2146"/>
      <c r="SJT11" s="103"/>
      <c r="SJV11" s="2146"/>
      <c r="SJW11" s="2146"/>
      <c r="SKJ11" s="103"/>
      <c r="SKL11" s="2146"/>
      <c r="SKM11" s="2146"/>
      <c r="SKZ11" s="103"/>
      <c r="SLB11" s="2146"/>
      <c r="SLC11" s="2146"/>
      <c r="SLP11" s="103"/>
      <c r="SLR11" s="2146"/>
      <c r="SLS11" s="2146"/>
      <c r="SMF11" s="103"/>
      <c r="SMH11" s="2146"/>
      <c r="SMI11" s="2146"/>
      <c r="SMV11" s="103"/>
      <c r="SMX11" s="2146"/>
      <c r="SMY11" s="2146"/>
      <c r="SNL11" s="103"/>
      <c r="SNN11" s="2146"/>
      <c r="SNO11" s="2146"/>
      <c r="SOB11" s="103"/>
      <c r="SOD11" s="2146"/>
      <c r="SOE11" s="2146"/>
      <c r="SOR11" s="103"/>
      <c r="SOT11" s="2146"/>
      <c r="SOU11" s="2146"/>
      <c r="SPH11" s="103"/>
      <c r="SPJ11" s="2146"/>
      <c r="SPK11" s="2146"/>
      <c r="SPX11" s="103"/>
      <c r="SPZ11" s="2146"/>
      <c r="SQA11" s="2146"/>
      <c r="SQN11" s="103"/>
      <c r="SQP11" s="2146"/>
      <c r="SQQ11" s="2146"/>
      <c r="SRD11" s="103"/>
      <c r="SRF11" s="2146"/>
      <c r="SRG11" s="2146"/>
      <c r="SRT11" s="103"/>
      <c r="SRV11" s="2146"/>
      <c r="SRW11" s="2146"/>
      <c r="SSJ11" s="103"/>
      <c r="SSL11" s="2146"/>
      <c r="SSM11" s="2146"/>
      <c r="SSZ11" s="103"/>
      <c r="STB11" s="2146"/>
      <c r="STC11" s="2146"/>
      <c r="STP11" s="103"/>
      <c r="STR11" s="2146"/>
      <c r="STS11" s="2146"/>
      <c r="SUF11" s="103"/>
      <c r="SUH11" s="2146"/>
      <c r="SUI11" s="2146"/>
      <c r="SUV11" s="103"/>
      <c r="SUX11" s="2146"/>
      <c r="SUY11" s="2146"/>
      <c r="SVL11" s="103"/>
      <c r="SVN11" s="2146"/>
      <c r="SVO11" s="2146"/>
      <c r="SWB11" s="103"/>
      <c r="SWD11" s="2146"/>
      <c r="SWE11" s="2146"/>
      <c r="SWR11" s="103"/>
      <c r="SWT11" s="2146"/>
      <c r="SWU11" s="2146"/>
      <c r="SXH11" s="103"/>
      <c r="SXJ11" s="2146"/>
      <c r="SXK11" s="2146"/>
      <c r="SXX11" s="103"/>
      <c r="SXZ11" s="2146"/>
      <c r="SYA11" s="2146"/>
      <c r="SYN11" s="103"/>
      <c r="SYP11" s="2146"/>
      <c r="SYQ11" s="2146"/>
      <c r="SZD11" s="103"/>
      <c r="SZF11" s="2146"/>
      <c r="SZG11" s="2146"/>
      <c r="SZT11" s="103"/>
      <c r="SZV11" s="2146"/>
      <c r="SZW11" s="2146"/>
      <c r="TAJ11" s="103"/>
      <c r="TAL11" s="2146"/>
      <c r="TAM11" s="2146"/>
      <c r="TAZ11" s="103"/>
      <c r="TBB11" s="2146"/>
      <c r="TBC11" s="2146"/>
      <c r="TBP11" s="103"/>
      <c r="TBR11" s="2146"/>
      <c r="TBS11" s="2146"/>
      <c r="TCF11" s="103"/>
      <c r="TCH11" s="2146"/>
      <c r="TCI11" s="2146"/>
      <c r="TCV11" s="103"/>
      <c r="TCX11" s="2146"/>
      <c r="TCY11" s="2146"/>
      <c r="TDL11" s="103"/>
      <c r="TDN11" s="2146"/>
      <c r="TDO11" s="2146"/>
      <c r="TEB11" s="103"/>
      <c r="TED11" s="2146"/>
      <c r="TEE11" s="2146"/>
      <c r="TER11" s="103"/>
      <c r="TET11" s="2146"/>
      <c r="TEU11" s="2146"/>
      <c r="TFH11" s="103"/>
      <c r="TFJ11" s="2146"/>
      <c r="TFK11" s="2146"/>
      <c r="TFX11" s="103"/>
      <c r="TFZ11" s="2146"/>
      <c r="TGA11" s="2146"/>
      <c r="TGN11" s="103"/>
      <c r="TGP11" s="2146"/>
      <c r="TGQ11" s="2146"/>
      <c r="THD11" s="103"/>
      <c r="THF11" s="2146"/>
      <c r="THG11" s="2146"/>
      <c r="THT11" s="103"/>
      <c r="THV11" s="2146"/>
      <c r="THW11" s="2146"/>
      <c r="TIJ11" s="103"/>
      <c r="TIL11" s="2146"/>
      <c r="TIM11" s="2146"/>
      <c r="TIZ11" s="103"/>
      <c r="TJB11" s="2146"/>
      <c r="TJC11" s="2146"/>
      <c r="TJP11" s="103"/>
      <c r="TJR11" s="2146"/>
      <c r="TJS11" s="2146"/>
      <c r="TKF11" s="103"/>
      <c r="TKH11" s="2146"/>
      <c r="TKI11" s="2146"/>
      <c r="TKV11" s="103"/>
      <c r="TKX11" s="2146"/>
      <c r="TKY11" s="2146"/>
      <c r="TLL11" s="103"/>
      <c r="TLN11" s="2146"/>
      <c r="TLO11" s="2146"/>
      <c r="TMB11" s="103"/>
      <c r="TMD11" s="2146"/>
      <c r="TME11" s="2146"/>
      <c r="TMR11" s="103"/>
      <c r="TMT11" s="2146"/>
      <c r="TMU11" s="2146"/>
      <c r="TNH11" s="103"/>
      <c r="TNJ11" s="2146"/>
      <c r="TNK11" s="2146"/>
      <c r="TNX11" s="103"/>
      <c r="TNZ11" s="2146"/>
      <c r="TOA11" s="2146"/>
      <c r="TON11" s="103"/>
      <c r="TOP11" s="2146"/>
      <c r="TOQ11" s="2146"/>
      <c r="TPD11" s="103"/>
      <c r="TPF11" s="2146"/>
      <c r="TPG11" s="2146"/>
      <c r="TPT11" s="103"/>
      <c r="TPV11" s="2146"/>
      <c r="TPW11" s="2146"/>
      <c r="TQJ11" s="103"/>
      <c r="TQL11" s="2146"/>
      <c r="TQM11" s="2146"/>
      <c r="TQZ11" s="103"/>
      <c r="TRB11" s="2146"/>
      <c r="TRC11" s="2146"/>
      <c r="TRP11" s="103"/>
      <c r="TRR11" s="2146"/>
      <c r="TRS11" s="2146"/>
      <c r="TSF11" s="103"/>
      <c r="TSH11" s="2146"/>
      <c r="TSI11" s="2146"/>
      <c r="TSV11" s="103"/>
      <c r="TSX11" s="2146"/>
      <c r="TSY11" s="2146"/>
      <c r="TTL11" s="103"/>
      <c r="TTN11" s="2146"/>
      <c r="TTO11" s="2146"/>
      <c r="TUB11" s="103"/>
      <c r="TUD11" s="2146"/>
      <c r="TUE11" s="2146"/>
      <c r="TUR11" s="103"/>
      <c r="TUT11" s="2146"/>
      <c r="TUU11" s="2146"/>
      <c r="TVH11" s="103"/>
      <c r="TVJ11" s="2146"/>
      <c r="TVK11" s="2146"/>
      <c r="TVX11" s="103"/>
      <c r="TVZ11" s="2146"/>
      <c r="TWA11" s="2146"/>
      <c r="TWN11" s="103"/>
      <c r="TWP11" s="2146"/>
      <c r="TWQ11" s="2146"/>
      <c r="TXD11" s="103"/>
      <c r="TXF11" s="2146"/>
      <c r="TXG11" s="2146"/>
      <c r="TXT11" s="103"/>
      <c r="TXV11" s="2146"/>
      <c r="TXW11" s="2146"/>
      <c r="TYJ11" s="103"/>
      <c r="TYL11" s="2146"/>
      <c r="TYM11" s="2146"/>
      <c r="TYZ11" s="103"/>
      <c r="TZB11" s="2146"/>
      <c r="TZC11" s="2146"/>
      <c r="TZP11" s="103"/>
      <c r="TZR11" s="2146"/>
      <c r="TZS11" s="2146"/>
      <c r="UAF11" s="103"/>
      <c r="UAH11" s="2146"/>
      <c r="UAI11" s="2146"/>
      <c r="UAV11" s="103"/>
      <c r="UAX11" s="2146"/>
      <c r="UAY11" s="2146"/>
      <c r="UBL11" s="103"/>
      <c r="UBN11" s="2146"/>
      <c r="UBO11" s="2146"/>
      <c r="UCB11" s="103"/>
      <c r="UCD11" s="2146"/>
      <c r="UCE11" s="2146"/>
      <c r="UCR11" s="103"/>
      <c r="UCT11" s="2146"/>
      <c r="UCU11" s="2146"/>
      <c r="UDH11" s="103"/>
      <c r="UDJ11" s="2146"/>
      <c r="UDK11" s="2146"/>
      <c r="UDX11" s="103"/>
      <c r="UDZ11" s="2146"/>
      <c r="UEA11" s="2146"/>
      <c r="UEN11" s="103"/>
      <c r="UEP11" s="2146"/>
      <c r="UEQ11" s="2146"/>
      <c r="UFD11" s="103"/>
      <c r="UFF11" s="2146"/>
      <c r="UFG11" s="2146"/>
      <c r="UFT11" s="103"/>
      <c r="UFV11" s="2146"/>
      <c r="UFW11" s="2146"/>
      <c r="UGJ11" s="103"/>
      <c r="UGL11" s="2146"/>
      <c r="UGM11" s="2146"/>
      <c r="UGZ11" s="103"/>
      <c r="UHB11" s="2146"/>
      <c r="UHC11" s="2146"/>
      <c r="UHP11" s="103"/>
      <c r="UHR11" s="2146"/>
      <c r="UHS11" s="2146"/>
      <c r="UIF11" s="103"/>
      <c r="UIH11" s="2146"/>
      <c r="UII11" s="2146"/>
      <c r="UIV11" s="103"/>
      <c r="UIX11" s="2146"/>
      <c r="UIY11" s="2146"/>
      <c r="UJL11" s="103"/>
      <c r="UJN11" s="2146"/>
      <c r="UJO11" s="2146"/>
      <c r="UKB11" s="103"/>
      <c r="UKD11" s="2146"/>
      <c r="UKE11" s="2146"/>
      <c r="UKR11" s="103"/>
      <c r="UKT11" s="2146"/>
      <c r="UKU11" s="2146"/>
      <c r="ULH11" s="103"/>
      <c r="ULJ11" s="2146"/>
      <c r="ULK11" s="2146"/>
      <c r="ULX11" s="103"/>
      <c r="ULZ11" s="2146"/>
      <c r="UMA11" s="2146"/>
      <c r="UMN11" s="103"/>
      <c r="UMP11" s="2146"/>
      <c r="UMQ11" s="2146"/>
      <c r="UND11" s="103"/>
      <c r="UNF11" s="2146"/>
      <c r="UNG11" s="2146"/>
      <c r="UNT11" s="103"/>
      <c r="UNV11" s="2146"/>
      <c r="UNW11" s="2146"/>
      <c r="UOJ11" s="103"/>
      <c r="UOL11" s="2146"/>
      <c r="UOM11" s="2146"/>
      <c r="UOZ11" s="103"/>
      <c r="UPB11" s="2146"/>
      <c r="UPC11" s="2146"/>
      <c r="UPP11" s="103"/>
      <c r="UPR11" s="2146"/>
      <c r="UPS11" s="2146"/>
      <c r="UQF11" s="103"/>
      <c r="UQH11" s="2146"/>
      <c r="UQI11" s="2146"/>
      <c r="UQV11" s="103"/>
      <c r="UQX11" s="2146"/>
      <c r="UQY11" s="2146"/>
      <c r="URL11" s="103"/>
      <c r="URN11" s="2146"/>
      <c r="URO11" s="2146"/>
      <c r="USB11" s="103"/>
      <c r="USD11" s="2146"/>
      <c r="USE11" s="2146"/>
      <c r="USR11" s="103"/>
      <c r="UST11" s="2146"/>
      <c r="USU11" s="2146"/>
      <c r="UTH11" s="103"/>
      <c r="UTJ11" s="2146"/>
      <c r="UTK11" s="2146"/>
      <c r="UTX11" s="103"/>
      <c r="UTZ11" s="2146"/>
      <c r="UUA11" s="2146"/>
      <c r="UUN11" s="103"/>
      <c r="UUP11" s="2146"/>
      <c r="UUQ11" s="2146"/>
      <c r="UVD11" s="103"/>
      <c r="UVF11" s="2146"/>
      <c r="UVG11" s="2146"/>
      <c r="UVT11" s="103"/>
      <c r="UVV11" s="2146"/>
      <c r="UVW11" s="2146"/>
      <c r="UWJ11" s="103"/>
      <c r="UWL11" s="2146"/>
      <c r="UWM11" s="2146"/>
      <c r="UWZ11" s="103"/>
      <c r="UXB11" s="2146"/>
      <c r="UXC11" s="2146"/>
      <c r="UXP11" s="103"/>
      <c r="UXR11" s="2146"/>
      <c r="UXS11" s="2146"/>
      <c r="UYF11" s="103"/>
      <c r="UYH11" s="2146"/>
      <c r="UYI11" s="2146"/>
      <c r="UYV11" s="103"/>
      <c r="UYX11" s="2146"/>
      <c r="UYY11" s="2146"/>
      <c r="UZL11" s="103"/>
      <c r="UZN11" s="2146"/>
      <c r="UZO11" s="2146"/>
      <c r="VAB11" s="103"/>
      <c r="VAD11" s="2146"/>
      <c r="VAE11" s="2146"/>
      <c r="VAR11" s="103"/>
      <c r="VAT11" s="2146"/>
      <c r="VAU11" s="2146"/>
      <c r="VBH11" s="103"/>
      <c r="VBJ11" s="2146"/>
      <c r="VBK11" s="2146"/>
      <c r="VBX11" s="103"/>
      <c r="VBZ11" s="2146"/>
      <c r="VCA11" s="2146"/>
      <c r="VCN11" s="103"/>
      <c r="VCP11" s="2146"/>
      <c r="VCQ11" s="2146"/>
      <c r="VDD11" s="103"/>
      <c r="VDF11" s="2146"/>
      <c r="VDG11" s="2146"/>
      <c r="VDT11" s="103"/>
      <c r="VDV11" s="2146"/>
      <c r="VDW11" s="2146"/>
      <c r="VEJ11" s="103"/>
      <c r="VEL11" s="2146"/>
      <c r="VEM11" s="2146"/>
      <c r="VEZ11" s="103"/>
      <c r="VFB11" s="2146"/>
      <c r="VFC11" s="2146"/>
      <c r="VFP11" s="103"/>
      <c r="VFR11" s="2146"/>
      <c r="VFS11" s="2146"/>
      <c r="VGF11" s="103"/>
      <c r="VGH11" s="2146"/>
      <c r="VGI11" s="2146"/>
      <c r="VGV11" s="103"/>
      <c r="VGX11" s="2146"/>
      <c r="VGY11" s="2146"/>
      <c r="VHL11" s="103"/>
      <c r="VHN11" s="2146"/>
      <c r="VHO11" s="2146"/>
      <c r="VIB11" s="103"/>
      <c r="VID11" s="2146"/>
      <c r="VIE11" s="2146"/>
      <c r="VIR11" s="103"/>
      <c r="VIT11" s="2146"/>
      <c r="VIU11" s="2146"/>
      <c r="VJH11" s="103"/>
      <c r="VJJ11" s="2146"/>
      <c r="VJK11" s="2146"/>
      <c r="VJX11" s="103"/>
      <c r="VJZ11" s="2146"/>
      <c r="VKA11" s="2146"/>
      <c r="VKN11" s="103"/>
      <c r="VKP11" s="2146"/>
      <c r="VKQ11" s="2146"/>
      <c r="VLD11" s="103"/>
      <c r="VLF11" s="2146"/>
      <c r="VLG11" s="2146"/>
      <c r="VLT11" s="103"/>
      <c r="VLV11" s="2146"/>
      <c r="VLW11" s="2146"/>
      <c r="VMJ11" s="103"/>
      <c r="VML11" s="2146"/>
      <c r="VMM11" s="2146"/>
      <c r="VMZ11" s="103"/>
      <c r="VNB11" s="2146"/>
      <c r="VNC11" s="2146"/>
      <c r="VNP11" s="103"/>
      <c r="VNR11" s="2146"/>
      <c r="VNS11" s="2146"/>
      <c r="VOF11" s="103"/>
      <c r="VOH11" s="2146"/>
      <c r="VOI11" s="2146"/>
      <c r="VOV11" s="103"/>
      <c r="VOX11" s="2146"/>
      <c r="VOY11" s="2146"/>
      <c r="VPL11" s="103"/>
      <c r="VPN11" s="2146"/>
      <c r="VPO11" s="2146"/>
      <c r="VQB11" s="103"/>
      <c r="VQD11" s="2146"/>
      <c r="VQE11" s="2146"/>
      <c r="VQR11" s="103"/>
      <c r="VQT11" s="2146"/>
      <c r="VQU11" s="2146"/>
      <c r="VRH11" s="103"/>
      <c r="VRJ11" s="2146"/>
      <c r="VRK11" s="2146"/>
      <c r="VRX11" s="103"/>
      <c r="VRZ11" s="2146"/>
      <c r="VSA11" s="2146"/>
      <c r="VSN11" s="103"/>
      <c r="VSP11" s="2146"/>
      <c r="VSQ11" s="2146"/>
      <c r="VTD11" s="103"/>
      <c r="VTF11" s="2146"/>
      <c r="VTG11" s="2146"/>
      <c r="VTT11" s="103"/>
      <c r="VTV11" s="2146"/>
      <c r="VTW11" s="2146"/>
      <c r="VUJ11" s="103"/>
      <c r="VUL11" s="2146"/>
      <c r="VUM11" s="2146"/>
      <c r="VUZ11" s="103"/>
      <c r="VVB11" s="2146"/>
      <c r="VVC11" s="2146"/>
      <c r="VVP11" s="103"/>
      <c r="VVR11" s="2146"/>
      <c r="VVS11" s="2146"/>
      <c r="VWF11" s="103"/>
      <c r="VWH11" s="2146"/>
      <c r="VWI11" s="2146"/>
      <c r="VWV11" s="103"/>
      <c r="VWX11" s="2146"/>
      <c r="VWY11" s="2146"/>
      <c r="VXL11" s="103"/>
      <c r="VXN11" s="2146"/>
      <c r="VXO11" s="2146"/>
      <c r="VYB11" s="103"/>
      <c r="VYD11" s="2146"/>
      <c r="VYE11" s="2146"/>
      <c r="VYR11" s="103"/>
      <c r="VYT11" s="2146"/>
      <c r="VYU11" s="2146"/>
      <c r="VZH11" s="103"/>
      <c r="VZJ11" s="2146"/>
      <c r="VZK11" s="2146"/>
      <c r="VZX11" s="103"/>
      <c r="VZZ11" s="2146"/>
      <c r="WAA11" s="2146"/>
      <c r="WAN11" s="103"/>
      <c r="WAP11" s="2146"/>
      <c r="WAQ11" s="2146"/>
      <c r="WBD11" s="103"/>
      <c r="WBF11" s="2146"/>
      <c r="WBG11" s="2146"/>
      <c r="WBT11" s="103"/>
      <c r="WBV11" s="2146"/>
      <c r="WBW11" s="2146"/>
      <c r="WCJ11" s="103"/>
      <c r="WCL11" s="2146"/>
      <c r="WCM11" s="2146"/>
      <c r="WCZ11" s="103"/>
      <c r="WDB11" s="2146"/>
      <c r="WDC11" s="2146"/>
      <c r="WDP11" s="103"/>
      <c r="WDR11" s="2146"/>
      <c r="WDS11" s="2146"/>
      <c r="WEF11" s="103"/>
      <c r="WEH11" s="2146"/>
      <c r="WEI11" s="2146"/>
      <c r="WEV11" s="103"/>
      <c r="WEX11" s="2146"/>
      <c r="WEY11" s="2146"/>
      <c r="WFL11" s="103"/>
      <c r="WFN11" s="2146"/>
      <c r="WFO11" s="2146"/>
      <c r="WGB11" s="103"/>
      <c r="WGD11" s="2146"/>
      <c r="WGE11" s="2146"/>
      <c r="WGR11" s="103"/>
      <c r="WGT11" s="2146"/>
      <c r="WGU11" s="2146"/>
      <c r="WHH11" s="103"/>
      <c r="WHJ11" s="2146"/>
      <c r="WHK11" s="2146"/>
      <c r="WHX11" s="103"/>
      <c r="WHZ11" s="2146"/>
      <c r="WIA11" s="2146"/>
      <c r="WIN11" s="103"/>
      <c r="WIP11" s="2146"/>
      <c r="WIQ11" s="2146"/>
      <c r="WJD11" s="103"/>
      <c r="WJF11" s="2146"/>
      <c r="WJG11" s="2146"/>
      <c r="WJT11" s="103"/>
      <c r="WJV11" s="2146"/>
      <c r="WJW11" s="2146"/>
      <c r="WKJ11" s="103"/>
      <c r="WKL11" s="2146"/>
      <c r="WKM11" s="2146"/>
      <c r="WKZ11" s="103"/>
      <c r="WLB11" s="2146"/>
      <c r="WLC11" s="2146"/>
      <c r="WLP11" s="103"/>
      <c r="WLR11" s="2146"/>
      <c r="WLS11" s="2146"/>
      <c r="WMF11" s="103"/>
      <c r="WMH11" s="2146"/>
      <c r="WMI11" s="2146"/>
      <c r="WMV11" s="103"/>
      <c r="WMX11" s="2146"/>
      <c r="WMY11" s="2146"/>
      <c r="WNL11" s="103"/>
      <c r="WNN11" s="2146"/>
      <c r="WNO11" s="2146"/>
      <c r="WOB11" s="103"/>
      <c r="WOD11" s="2146"/>
      <c r="WOE11" s="2146"/>
      <c r="WOR11" s="103"/>
      <c r="WOT11" s="2146"/>
      <c r="WOU11" s="2146"/>
      <c r="WPH11" s="103"/>
      <c r="WPJ11" s="2146"/>
      <c r="WPK11" s="2146"/>
      <c r="WPX11" s="103"/>
      <c r="WPZ11" s="2146"/>
      <c r="WQA11" s="2146"/>
      <c r="WQN11" s="103"/>
      <c r="WQP11" s="2146"/>
      <c r="WQQ11" s="2146"/>
      <c r="WRD11" s="103"/>
      <c r="WRF11" s="2146"/>
      <c r="WRG11" s="2146"/>
      <c r="WRT11" s="103"/>
      <c r="WRV11" s="2146"/>
      <c r="WRW11" s="2146"/>
      <c r="WSJ11" s="103"/>
      <c r="WSL11" s="2146"/>
      <c r="WSM11" s="2146"/>
      <c r="WSZ11" s="103"/>
      <c r="WTB11" s="2146"/>
      <c r="WTC11" s="2146"/>
      <c r="WTP11" s="103"/>
      <c r="WTR11" s="2146"/>
      <c r="WTS11" s="2146"/>
      <c r="WUF11" s="103"/>
      <c r="WUH11" s="2146"/>
      <c r="WUI11" s="2146"/>
      <c r="WUV11" s="103"/>
      <c r="WUX11" s="2146"/>
      <c r="WUY11" s="2146"/>
      <c r="WVL11" s="103"/>
      <c r="WVN11" s="2146"/>
      <c r="WVO11" s="2146"/>
      <c r="WWB11" s="103"/>
      <c r="WWD11" s="2146"/>
      <c r="WWE11" s="2146"/>
      <c r="WWR11" s="103"/>
      <c r="WWT11" s="2146"/>
      <c r="WWU11" s="2146"/>
      <c r="WXH11" s="103"/>
      <c r="WXJ11" s="2146"/>
      <c r="WXK11" s="2146"/>
      <c r="WXX11" s="103"/>
      <c r="WXZ11" s="2146"/>
      <c r="WYA11" s="2146"/>
      <c r="WYN11" s="103"/>
      <c r="WYP11" s="2146"/>
      <c r="WYQ11" s="2146"/>
      <c r="WZD11" s="103"/>
      <c r="WZF11" s="2146"/>
      <c r="WZG11" s="2146"/>
      <c r="WZT11" s="103"/>
      <c r="WZV11" s="2146"/>
      <c r="WZW11" s="2146"/>
      <c r="XAJ11" s="103"/>
      <c r="XAL11" s="2146"/>
      <c r="XAM11" s="2146"/>
      <c r="XAZ11" s="103"/>
      <c r="XBB11" s="2146"/>
      <c r="XBC11" s="2146"/>
      <c r="XBP11" s="103"/>
      <c r="XBR11" s="2146"/>
      <c r="XBS11" s="2146"/>
      <c r="XCF11" s="103"/>
      <c r="XCH11" s="2146"/>
      <c r="XCI11" s="2146"/>
      <c r="XCV11" s="103"/>
      <c r="XCX11" s="2146"/>
      <c r="XCY11" s="2146"/>
      <c r="XDL11" s="103"/>
      <c r="XDN11" s="2146"/>
      <c r="XDO11" s="2146"/>
      <c r="XEB11" s="103"/>
      <c r="XED11" s="2146"/>
      <c r="XEE11" s="2146"/>
      <c r="XER11" s="103"/>
      <c r="XET11" s="2146"/>
      <c r="XEU11" s="2146"/>
    </row>
    <row r="12" spans="1:1015 1028:2039 2052:3063 3076:4087 4100:5111 5124:6135 6148:7159 7172:8183 8196:9207 9220:10231 10244:11255 11268:12279 12292:13303 13316:14327 14340:15351 15364:16375" ht="15.6">
      <c r="D12" s="722" t="s">
        <v>1601</v>
      </c>
      <c r="E12" s="670" t="s">
        <v>365</v>
      </c>
      <c r="F12" s="2155" t="e">
        <f ca="1">'6) Zone Imp'!U155</f>
        <v>#DIV/0!</v>
      </c>
      <c r="G12" s="2155"/>
      <c r="H12" s="2156" t="e">
        <f ca="1">IF(F12&lt;=F14,"MAX Z3F is less than the apparent impedance of line end 3LG fault on the longest 2nd line, please lower the TARP Multiplication factor in Data Entry sheet or chosse a different PRC-023-3 criteria","")</f>
        <v>#DIV/0!</v>
      </c>
      <c r="I12" s="2156"/>
      <c r="J12" s="2156"/>
      <c r="K12" s="2156"/>
      <c r="L12" s="2156"/>
      <c r="M12" s="2156"/>
      <c r="N12" s="2156"/>
      <c r="O12" s="2156"/>
      <c r="P12" s="2156"/>
      <c r="T12" s="103"/>
      <c r="V12" s="2146"/>
      <c r="W12" s="2146"/>
      <c r="AJ12" s="103"/>
      <c r="AL12" s="2146"/>
      <c r="AM12" s="2146"/>
      <c r="AZ12" s="103"/>
      <c r="BB12" s="2146"/>
      <c r="BC12" s="2146"/>
      <c r="BP12" s="103"/>
      <c r="BR12" s="2146"/>
      <c r="BS12" s="2146"/>
      <c r="CF12" s="103"/>
      <c r="CH12" s="2146"/>
      <c r="CI12" s="2146"/>
      <c r="CV12" s="103"/>
      <c r="CX12" s="2146"/>
      <c r="CY12" s="2146"/>
      <c r="DL12" s="103"/>
      <c r="DN12" s="2146"/>
      <c r="DO12" s="2146"/>
      <c r="EB12" s="103"/>
      <c r="ED12" s="2146"/>
      <c r="EE12" s="2146"/>
      <c r="ER12" s="103"/>
      <c r="ET12" s="2146"/>
      <c r="EU12" s="2146"/>
      <c r="FH12" s="103"/>
      <c r="FJ12" s="2146"/>
      <c r="FK12" s="2146"/>
      <c r="FX12" s="103"/>
      <c r="FZ12" s="2146"/>
      <c r="GA12" s="2146"/>
      <c r="GN12" s="103"/>
      <c r="GP12" s="2146"/>
      <c r="GQ12" s="2146"/>
      <c r="HD12" s="103"/>
      <c r="HF12" s="2146"/>
      <c r="HG12" s="2146"/>
      <c r="HT12" s="103"/>
      <c r="HV12" s="2146"/>
      <c r="HW12" s="2146"/>
      <c r="IJ12" s="103"/>
      <c r="IL12" s="2146"/>
      <c r="IM12" s="2146"/>
      <c r="IZ12" s="103"/>
      <c r="JB12" s="2146"/>
      <c r="JC12" s="2146"/>
      <c r="JP12" s="103"/>
      <c r="JR12" s="2146"/>
      <c r="JS12" s="2146"/>
      <c r="KF12" s="103"/>
      <c r="KH12" s="2146"/>
      <c r="KI12" s="2146"/>
      <c r="KV12" s="103"/>
      <c r="KX12" s="2146"/>
      <c r="KY12" s="2146"/>
      <c r="LL12" s="103"/>
      <c r="LN12" s="2146"/>
      <c r="LO12" s="2146"/>
      <c r="MB12" s="103"/>
      <c r="MD12" s="2146"/>
      <c r="ME12" s="2146"/>
      <c r="MR12" s="103"/>
      <c r="MT12" s="2146"/>
      <c r="MU12" s="2146"/>
      <c r="NH12" s="103"/>
      <c r="NJ12" s="2146"/>
      <c r="NK12" s="2146"/>
      <c r="NX12" s="103"/>
      <c r="NZ12" s="2146"/>
      <c r="OA12" s="2146"/>
      <c r="ON12" s="103"/>
      <c r="OP12" s="2146"/>
      <c r="OQ12" s="2146"/>
      <c r="PD12" s="103"/>
      <c r="PF12" s="2146"/>
      <c r="PG12" s="2146"/>
      <c r="PT12" s="103"/>
      <c r="PV12" s="2146"/>
      <c r="PW12" s="2146"/>
      <c r="QJ12" s="103"/>
      <c r="QL12" s="2146"/>
      <c r="QM12" s="2146"/>
      <c r="QZ12" s="103"/>
      <c r="RB12" s="2146"/>
      <c r="RC12" s="2146"/>
      <c r="RP12" s="103"/>
      <c r="RR12" s="2146"/>
      <c r="RS12" s="2146"/>
      <c r="SF12" s="103"/>
      <c r="SH12" s="2146"/>
      <c r="SI12" s="2146"/>
      <c r="SV12" s="103"/>
      <c r="SX12" s="2146"/>
      <c r="SY12" s="2146"/>
      <c r="TL12" s="103"/>
      <c r="TN12" s="2146"/>
      <c r="TO12" s="2146"/>
      <c r="UB12" s="103"/>
      <c r="UD12" s="2146"/>
      <c r="UE12" s="2146"/>
      <c r="UR12" s="103"/>
      <c r="UT12" s="2146"/>
      <c r="UU12" s="2146"/>
      <c r="VH12" s="103"/>
      <c r="VJ12" s="2146"/>
      <c r="VK12" s="2146"/>
      <c r="VX12" s="103"/>
      <c r="VZ12" s="2146"/>
      <c r="WA12" s="2146"/>
      <c r="WN12" s="103"/>
      <c r="WP12" s="2146"/>
      <c r="WQ12" s="2146"/>
      <c r="XD12" s="103"/>
      <c r="XF12" s="2146"/>
      <c r="XG12" s="2146"/>
      <c r="XT12" s="103"/>
      <c r="XV12" s="2146"/>
      <c r="XW12" s="2146"/>
      <c r="YJ12" s="103"/>
      <c r="YL12" s="2146"/>
      <c r="YM12" s="2146"/>
      <c r="YZ12" s="103"/>
      <c r="ZB12" s="2146"/>
      <c r="ZC12" s="2146"/>
      <c r="ZP12" s="103"/>
      <c r="ZR12" s="2146"/>
      <c r="ZS12" s="2146"/>
      <c r="AAF12" s="103"/>
      <c r="AAH12" s="2146"/>
      <c r="AAI12" s="2146"/>
      <c r="AAV12" s="103"/>
      <c r="AAX12" s="2146"/>
      <c r="AAY12" s="2146"/>
      <c r="ABL12" s="103"/>
      <c r="ABN12" s="2146"/>
      <c r="ABO12" s="2146"/>
      <c r="ACB12" s="103"/>
      <c r="ACD12" s="2146"/>
      <c r="ACE12" s="2146"/>
      <c r="ACR12" s="103"/>
      <c r="ACT12" s="2146"/>
      <c r="ACU12" s="2146"/>
      <c r="ADH12" s="103"/>
      <c r="ADJ12" s="2146"/>
      <c r="ADK12" s="2146"/>
      <c r="ADX12" s="103"/>
      <c r="ADZ12" s="2146"/>
      <c r="AEA12" s="2146"/>
      <c r="AEN12" s="103"/>
      <c r="AEP12" s="2146"/>
      <c r="AEQ12" s="2146"/>
      <c r="AFD12" s="103"/>
      <c r="AFF12" s="2146"/>
      <c r="AFG12" s="2146"/>
      <c r="AFT12" s="103"/>
      <c r="AFV12" s="2146"/>
      <c r="AFW12" s="2146"/>
      <c r="AGJ12" s="103"/>
      <c r="AGL12" s="2146"/>
      <c r="AGM12" s="2146"/>
      <c r="AGZ12" s="103"/>
      <c r="AHB12" s="2146"/>
      <c r="AHC12" s="2146"/>
      <c r="AHP12" s="103"/>
      <c r="AHR12" s="2146"/>
      <c r="AHS12" s="2146"/>
      <c r="AIF12" s="103"/>
      <c r="AIH12" s="2146"/>
      <c r="AII12" s="2146"/>
      <c r="AIV12" s="103"/>
      <c r="AIX12" s="2146"/>
      <c r="AIY12" s="2146"/>
      <c r="AJL12" s="103"/>
      <c r="AJN12" s="2146"/>
      <c r="AJO12" s="2146"/>
      <c r="AKB12" s="103"/>
      <c r="AKD12" s="2146"/>
      <c r="AKE12" s="2146"/>
      <c r="AKR12" s="103"/>
      <c r="AKT12" s="2146"/>
      <c r="AKU12" s="2146"/>
      <c r="ALH12" s="103"/>
      <c r="ALJ12" s="2146"/>
      <c r="ALK12" s="2146"/>
      <c r="ALX12" s="103"/>
      <c r="ALZ12" s="2146"/>
      <c r="AMA12" s="2146"/>
      <c r="AMN12" s="103"/>
      <c r="AMP12" s="2146"/>
      <c r="AMQ12" s="2146"/>
      <c r="AND12" s="103"/>
      <c r="ANF12" s="2146"/>
      <c r="ANG12" s="2146"/>
      <c r="ANT12" s="103"/>
      <c r="ANV12" s="2146"/>
      <c r="ANW12" s="2146"/>
      <c r="AOJ12" s="103"/>
      <c r="AOL12" s="2146"/>
      <c r="AOM12" s="2146"/>
      <c r="AOZ12" s="103"/>
      <c r="APB12" s="2146"/>
      <c r="APC12" s="2146"/>
      <c r="APP12" s="103"/>
      <c r="APR12" s="2146"/>
      <c r="APS12" s="2146"/>
      <c r="AQF12" s="103"/>
      <c r="AQH12" s="2146"/>
      <c r="AQI12" s="2146"/>
      <c r="AQV12" s="103"/>
      <c r="AQX12" s="2146"/>
      <c r="AQY12" s="2146"/>
      <c r="ARL12" s="103"/>
      <c r="ARN12" s="2146"/>
      <c r="ARO12" s="2146"/>
      <c r="ASB12" s="103"/>
      <c r="ASD12" s="2146"/>
      <c r="ASE12" s="2146"/>
      <c r="ASR12" s="103"/>
      <c r="AST12" s="2146"/>
      <c r="ASU12" s="2146"/>
      <c r="ATH12" s="103"/>
      <c r="ATJ12" s="2146"/>
      <c r="ATK12" s="2146"/>
      <c r="ATX12" s="103"/>
      <c r="ATZ12" s="2146"/>
      <c r="AUA12" s="2146"/>
      <c r="AUN12" s="103"/>
      <c r="AUP12" s="2146"/>
      <c r="AUQ12" s="2146"/>
      <c r="AVD12" s="103"/>
      <c r="AVF12" s="2146"/>
      <c r="AVG12" s="2146"/>
      <c r="AVT12" s="103"/>
      <c r="AVV12" s="2146"/>
      <c r="AVW12" s="2146"/>
      <c r="AWJ12" s="103"/>
      <c r="AWL12" s="2146"/>
      <c r="AWM12" s="2146"/>
      <c r="AWZ12" s="103"/>
      <c r="AXB12" s="2146"/>
      <c r="AXC12" s="2146"/>
      <c r="AXP12" s="103"/>
      <c r="AXR12" s="2146"/>
      <c r="AXS12" s="2146"/>
      <c r="AYF12" s="103"/>
      <c r="AYH12" s="2146"/>
      <c r="AYI12" s="2146"/>
      <c r="AYV12" s="103"/>
      <c r="AYX12" s="2146"/>
      <c r="AYY12" s="2146"/>
      <c r="AZL12" s="103"/>
      <c r="AZN12" s="2146"/>
      <c r="AZO12" s="2146"/>
      <c r="BAB12" s="103"/>
      <c r="BAD12" s="2146"/>
      <c r="BAE12" s="2146"/>
      <c r="BAR12" s="103"/>
      <c r="BAT12" s="2146"/>
      <c r="BAU12" s="2146"/>
      <c r="BBH12" s="103"/>
      <c r="BBJ12" s="2146"/>
      <c r="BBK12" s="2146"/>
      <c r="BBX12" s="103"/>
      <c r="BBZ12" s="2146"/>
      <c r="BCA12" s="2146"/>
      <c r="BCN12" s="103"/>
      <c r="BCP12" s="2146"/>
      <c r="BCQ12" s="2146"/>
      <c r="BDD12" s="103"/>
      <c r="BDF12" s="2146"/>
      <c r="BDG12" s="2146"/>
      <c r="BDT12" s="103"/>
      <c r="BDV12" s="2146"/>
      <c r="BDW12" s="2146"/>
      <c r="BEJ12" s="103"/>
      <c r="BEL12" s="2146"/>
      <c r="BEM12" s="2146"/>
      <c r="BEZ12" s="103"/>
      <c r="BFB12" s="2146"/>
      <c r="BFC12" s="2146"/>
      <c r="BFP12" s="103"/>
      <c r="BFR12" s="2146"/>
      <c r="BFS12" s="2146"/>
      <c r="BGF12" s="103"/>
      <c r="BGH12" s="2146"/>
      <c r="BGI12" s="2146"/>
      <c r="BGV12" s="103"/>
      <c r="BGX12" s="2146"/>
      <c r="BGY12" s="2146"/>
      <c r="BHL12" s="103"/>
      <c r="BHN12" s="2146"/>
      <c r="BHO12" s="2146"/>
      <c r="BIB12" s="103"/>
      <c r="BID12" s="2146"/>
      <c r="BIE12" s="2146"/>
      <c r="BIR12" s="103"/>
      <c r="BIT12" s="2146"/>
      <c r="BIU12" s="2146"/>
      <c r="BJH12" s="103"/>
      <c r="BJJ12" s="2146"/>
      <c r="BJK12" s="2146"/>
      <c r="BJX12" s="103"/>
      <c r="BJZ12" s="2146"/>
      <c r="BKA12" s="2146"/>
      <c r="BKN12" s="103"/>
      <c r="BKP12" s="2146"/>
      <c r="BKQ12" s="2146"/>
      <c r="BLD12" s="103"/>
      <c r="BLF12" s="2146"/>
      <c r="BLG12" s="2146"/>
      <c r="BLT12" s="103"/>
      <c r="BLV12" s="2146"/>
      <c r="BLW12" s="2146"/>
      <c r="BMJ12" s="103"/>
      <c r="BML12" s="2146"/>
      <c r="BMM12" s="2146"/>
      <c r="BMZ12" s="103"/>
      <c r="BNB12" s="2146"/>
      <c r="BNC12" s="2146"/>
      <c r="BNP12" s="103"/>
      <c r="BNR12" s="2146"/>
      <c r="BNS12" s="2146"/>
      <c r="BOF12" s="103"/>
      <c r="BOH12" s="2146"/>
      <c r="BOI12" s="2146"/>
      <c r="BOV12" s="103"/>
      <c r="BOX12" s="2146"/>
      <c r="BOY12" s="2146"/>
      <c r="BPL12" s="103"/>
      <c r="BPN12" s="2146"/>
      <c r="BPO12" s="2146"/>
      <c r="BQB12" s="103"/>
      <c r="BQD12" s="2146"/>
      <c r="BQE12" s="2146"/>
      <c r="BQR12" s="103"/>
      <c r="BQT12" s="2146"/>
      <c r="BQU12" s="2146"/>
      <c r="BRH12" s="103"/>
      <c r="BRJ12" s="2146"/>
      <c r="BRK12" s="2146"/>
      <c r="BRX12" s="103"/>
      <c r="BRZ12" s="2146"/>
      <c r="BSA12" s="2146"/>
      <c r="BSN12" s="103"/>
      <c r="BSP12" s="2146"/>
      <c r="BSQ12" s="2146"/>
      <c r="BTD12" s="103"/>
      <c r="BTF12" s="2146"/>
      <c r="BTG12" s="2146"/>
      <c r="BTT12" s="103"/>
      <c r="BTV12" s="2146"/>
      <c r="BTW12" s="2146"/>
      <c r="BUJ12" s="103"/>
      <c r="BUL12" s="2146"/>
      <c r="BUM12" s="2146"/>
      <c r="BUZ12" s="103"/>
      <c r="BVB12" s="2146"/>
      <c r="BVC12" s="2146"/>
      <c r="BVP12" s="103"/>
      <c r="BVR12" s="2146"/>
      <c r="BVS12" s="2146"/>
      <c r="BWF12" s="103"/>
      <c r="BWH12" s="2146"/>
      <c r="BWI12" s="2146"/>
      <c r="BWV12" s="103"/>
      <c r="BWX12" s="2146"/>
      <c r="BWY12" s="2146"/>
      <c r="BXL12" s="103"/>
      <c r="BXN12" s="2146"/>
      <c r="BXO12" s="2146"/>
      <c r="BYB12" s="103"/>
      <c r="BYD12" s="2146"/>
      <c r="BYE12" s="2146"/>
      <c r="BYR12" s="103"/>
      <c r="BYT12" s="2146"/>
      <c r="BYU12" s="2146"/>
      <c r="BZH12" s="103"/>
      <c r="BZJ12" s="2146"/>
      <c r="BZK12" s="2146"/>
      <c r="BZX12" s="103"/>
      <c r="BZZ12" s="2146"/>
      <c r="CAA12" s="2146"/>
      <c r="CAN12" s="103"/>
      <c r="CAP12" s="2146"/>
      <c r="CAQ12" s="2146"/>
      <c r="CBD12" s="103"/>
      <c r="CBF12" s="2146"/>
      <c r="CBG12" s="2146"/>
      <c r="CBT12" s="103"/>
      <c r="CBV12" s="2146"/>
      <c r="CBW12" s="2146"/>
      <c r="CCJ12" s="103"/>
      <c r="CCL12" s="2146"/>
      <c r="CCM12" s="2146"/>
      <c r="CCZ12" s="103"/>
      <c r="CDB12" s="2146"/>
      <c r="CDC12" s="2146"/>
      <c r="CDP12" s="103"/>
      <c r="CDR12" s="2146"/>
      <c r="CDS12" s="2146"/>
      <c r="CEF12" s="103"/>
      <c r="CEH12" s="2146"/>
      <c r="CEI12" s="2146"/>
      <c r="CEV12" s="103"/>
      <c r="CEX12" s="2146"/>
      <c r="CEY12" s="2146"/>
      <c r="CFL12" s="103"/>
      <c r="CFN12" s="2146"/>
      <c r="CFO12" s="2146"/>
      <c r="CGB12" s="103"/>
      <c r="CGD12" s="2146"/>
      <c r="CGE12" s="2146"/>
      <c r="CGR12" s="103"/>
      <c r="CGT12" s="2146"/>
      <c r="CGU12" s="2146"/>
      <c r="CHH12" s="103"/>
      <c r="CHJ12" s="2146"/>
      <c r="CHK12" s="2146"/>
      <c r="CHX12" s="103"/>
      <c r="CHZ12" s="2146"/>
      <c r="CIA12" s="2146"/>
      <c r="CIN12" s="103"/>
      <c r="CIP12" s="2146"/>
      <c r="CIQ12" s="2146"/>
      <c r="CJD12" s="103"/>
      <c r="CJF12" s="2146"/>
      <c r="CJG12" s="2146"/>
      <c r="CJT12" s="103"/>
      <c r="CJV12" s="2146"/>
      <c r="CJW12" s="2146"/>
      <c r="CKJ12" s="103"/>
      <c r="CKL12" s="2146"/>
      <c r="CKM12" s="2146"/>
      <c r="CKZ12" s="103"/>
      <c r="CLB12" s="2146"/>
      <c r="CLC12" s="2146"/>
      <c r="CLP12" s="103"/>
      <c r="CLR12" s="2146"/>
      <c r="CLS12" s="2146"/>
      <c r="CMF12" s="103"/>
      <c r="CMH12" s="2146"/>
      <c r="CMI12" s="2146"/>
      <c r="CMV12" s="103"/>
      <c r="CMX12" s="2146"/>
      <c r="CMY12" s="2146"/>
      <c r="CNL12" s="103"/>
      <c r="CNN12" s="2146"/>
      <c r="CNO12" s="2146"/>
      <c r="COB12" s="103"/>
      <c r="COD12" s="2146"/>
      <c r="COE12" s="2146"/>
      <c r="COR12" s="103"/>
      <c r="COT12" s="2146"/>
      <c r="COU12" s="2146"/>
      <c r="CPH12" s="103"/>
      <c r="CPJ12" s="2146"/>
      <c r="CPK12" s="2146"/>
      <c r="CPX12" s="103"/>
      <c r="CPZ12" s="2146"/>
      <c r="CQA12" s="2146"/>
      <c r="CQN12" s="103"/>
      <c r="CQP12" s="2146"/>
      <c r="CQQ12" s="2146"/>
      <c r="CRD12" s="103"/>
      <c r="CRF12" s="2146"/>
      <c r="CRG12" s="2146"/>
      <c r="CRT12" s="103"/>
      <c r="CRV12" s="2146"/>
      <c r="CRW12" s="2146"/>
      <c r="CSJ12" s="103"/>
      <c r="CSL12" s="2146"/>
      <c r="CSM12" s="2146"/>
      <c r="CSZ12" s="103"/>
      <c r="CTB12" s="2146"/>
      <c r="CTC12" s="2146"/>
      <c r="CTP12" s="103"/>
      <c r="CTR12" s="2146"/>
      <c r="CTS12" s="2146"/>
      <c r="CUF12" s="103"/>
      <c r="CUH12" s="2146"/>
      <c r="CUI12" s="2146"/>
      <c r="CUV12" s="103"/>
      <c r="CUX12" s="2146"/>
      <c r="CUY12" s="2146"/>
      <c r="CVL12" s="103"/>
      <c r="CVN12" s="2146"/>
      <c r="CVO12" s="2146"/>
      <c r="CWB12" s="103"/>
      <c r="CWD12" s="2146"/>
      <c r="CWE12" s="2146"/>
      <c r="CWR12" s="103"/>
      <c r="CWT12" s="2146"/>
      <c r="CWU12" s="2146"/>
      <c r="CXH12" s="103"/>
      <c r="CXJ12" s="2146"/>
      <c r="CXK12" s="2146"/>
      <c r="CXX12" s="103"/>
      <c r="CXZ12" s="2146"/>
      <c r="CYA12" s="2146"/>
      <c r="CYN12" s="103"/>
      <c r="CYP12" s="2146"/>
      <c r="CYQ12" s="2146"/>
      <c r="CZD12" s="103"/>
      <c r="CZF12" s="2146"/>
      <c r="CZG12" s="2146"/>
      <c r="CZT12" s="103"/>
      <c r="CZV12" s="2146"/>
      <c r="CZW12" s="2146"/>
      <c r="DAJ12" s="103"/>
      <c r="DAL12" s="2146"/>
      <c r="DAM12" s="2146"/>
      <c r="DAZ12" s="103"/>
      <c r="DBB12" s="2146"/>
      <c r="DBC12" s="2146"/>
      <c r="DBP12" s="103"/>
      <c r="DBR12" s="2146"/>
      <c r="DBS12" s="2146"/>
      <c r="DCF12" s="103"/>
      <c r="DCH12" s="2146"/>
      <c r="DCI12" s="2146"/>
      <c r="DCV12" s="103"/>
      <c r="DCX12" s="2146"/>
      <c r="DCY12" s="2146"/>
      <c r="DDL12" s="103"/>
      <c r="DDN12" s="2146"/>
      <c r="DDO12" s="2146"/>
      <c r="DEB12" s="103"/>
      <c r="DED12" s="2146"/>
      <c r="DEE12" s="2146"/>
      <c r="DER12" s="103"/>
      <c r="DET12" s="2146"/>
      <c r="DEU12" s="2146"/>
      <c r="DFH12" s="103"/>
      <c r="DFJ12" s="2146"/>
      <c r="DFK12" s="2146"/>
      <c r="DFX12" s="103"/>
      <c r="DFZ12" s="2146"/>
      <c r="DGA12" s="2146"/>
      <c r="DGN12" s="103"/>
      <c r="DGP12" s="2146"/>
      <c r="DGQ12" s="2146"/>
      <c r="DHD12" s="103"/>
      <c r="DHF12" s="2146"/>
      <c r="DHG12" s="2146"/>
      <c r="DHT12" s="103"/>
      <c r="DHV12" s="2146"/>
      <c r="DHW12" s="2146"/>
      <c r="DIJ12" s="103"/>
      <c r="DIL12" s="2146"/>
      <c r="DIM12" s="2146"/>
      <c r="DIZ12" s="103"/>
      <c r="DJB12" s="2146"/>
      <c r="DJC12" s="2146"/>
      <c r="DJP12" s="103"/>
      <c r="DJR12" s="2146"/>
      <c r="DJS12" s="2146"/>
      <c r="DKF12" s="103"/>
      <c r="DKH12" s="2146"/>
      <c r="DKI12" s="2146"/>
      <c r="DKV12" s="103"/>
      <c r="DKX12" s="2146"/>
      <c r="DKY12" s="2146"/>
      <c r="DLL12" s="103"/>
      <c r="DLN12" s="2146"/>
      <c r="DLO12" s="2146"/>
      <c r="DMB12" s="103"/>
      <c r="DMD12" s="2146"/>
      <c r="DME12" s="2146"/>
      <c r="DMR12" s="103"/>
      <c r="DMT12" s="2146"/>
      <c r="DMU12" s="2146"/>
      <c r="DNH12" s="103"/>
      <c r="DNJ12" s="2146"/>
      <c r="DNK12" s="2146"/>
      <c r="DNX12" s="103"/>
      <c r="DNZ12" s="2146"/>
      <c r="DOA12" s="2146"/>
      <c r="DON12" s="103"/>
      <c r="DOP12" s="2146"/>
      <c r="DOQ12" s="2146"/>
      <c r="DPD12" s="103"/>
      <c r="DPF12" s="2146"/>
      <c r="DPG12" s="2146"/>
      <c r="DPT12" s="103"/>
      <c r="DPV12" s="2146"/>
      <c r="DPW12" s="2146"/>
      <c r="DQJ12" s="103"/>
      <c r="DQL12" s="2146"/>
      <c r="DQM12" s="2146"/>
      <c r="DQZ12" s="103"/>
      <c r="DRB12" s="2146"/>
      <c r="DRC12" s="2146"/>
      <c r="DRP12" s="103"/>
      <c r="DRR12" s="2146"/>
      <c r="DRS12" s="2146"/>
      <c r="DSF12" s="103"/>
      <c r="DSH12" s="2146"/>
      <c r="DSI12" s="2146"/>
      <c r="DSV12" s="103"/>
      <c r="DSX12" s="2146"/>
      <c r="DSY12" s="2146"/>
      <c r="DTL12" s="103"/>
      <c r="DTN12" s="2146"/>
      <c r="DTO12" s="2146"/>
      <c r="DUB12" s="103"/>
      <c r="DUD12" s="2146"/>
      <c r="DUE12" s="2146"/>
      <c r="DUR12" s="103"/>
      <c r="DUT12" s="2146"/>
      <c r="DUU12" s="2146"/>
      <c r="DVH12" s="103"/>
      <c r="DVJ12" s="2146"/>
      <c r="DVK12" s="2146"/>
      <c r="DVX12" s="103"/>
      <c r="DVZ12" s="2146"/>
      <c r="DWA12" s="2146"/>
      <c r="DWN12" s="103"/>
      <c r="DWP12" s="2146"/>
      <c r="DWQ12" s="2146"/>
      <c r="DXD12" s="103"/>
      <c r="DXF12" s="2146"/>
      <c r="DXG12" s="2146"/>
      <c r="DXT12" s="103"/>
      <c r="DXV12" s="2146"/>
      <c r="DXW12" s="2146"/>
      <c r="DYJ12" s="103"/>
      <c r="DYL12" s="2146"/>
      <c r="DYM12" s="2146"/>
      <c r="DYZ12" s="103"/>
      <c r="DZB12" s="2146"/>
      <c r="DZC12" s="2146"/>
      <c r="DZP12" s="103"/>
      <c r="DZR12" s="2146"/>
      <c r="DZS12" s="2146"/>
      <c r="EAF12" s="103"/>
      <c r="EAH12" s="2146"/>
      <c r="EAI12" s="2146"/>
      <c r="EAV12" s="103"/>
      <c r="EAX12" s="2146"/>
      <c r="EAY12" s="2146"/>
      <c r="EBL12" s="103"/>
      <c r="EBN12" s="2146"/>
      <c r="EBO12" s="2146"/>
      <c r="ECB12" s="103"/>
      <c r="ECD12" s="2146"/>
      <c r="ECE12" s="2146"/>
      <c r="ECR12" s="103"/>
      <c r="ECT12" s="2146"/>
      <c r="ECU12" s="2146"/>
      <c r="EDH12" s="103"/>
      <c r="EDJ12" s="2146"/>
      <c r="EDK12" s="2146"/>
      <c r="EDX12" s="103"/>
      <c r="EDZ12" s="2146"/>
      <c r="EEA12" s="2146"/>
      <c r="EEN12" s="103"/>
      <c r="EEP12" s="2146"/>
      <c r="EEQ12" s="2146"/>
      <c r="EFD12" s="103"/>
      <c r="EFF12" s="2146"/>
      <c r="EFG12" s="2146"/>
      <c r="EFT12" s="103"/>
      <c r="EFV12" s="2146"/>
      <c r="EFW12" s="2146"/>
      <c r="EGJ12" s="103"/>
      <c r="EGL12" s="2146"/>
      <c r="EGM12" s="2146"/>
      <c r="EGZ12" s="103"/>
      <c r="EHB12" s="2146"/>
      <c r="EHC12" s="2146"/>
      <c r="EHP12" s="103"/>
      <c r="EHR12" s="2146"/>
      <c r="EHS12" s="2146"/>
      <c r="EIF12" s="103"/>
      <c r="EIH12" s="2146"/>
      <c r="EII12" s="2146"/>
      <c r="EIV12" s="103"/>
      <c r="EIX12" s="2146"/>
      <c r="EIY12" s="2146"/>
      <c r="EJL12" s="103"/>
      <c r="EJN12" s="2146"/>
      <c r="EJO12" s="2146"/>
      <c r="EKB12" s="103"/>
      <c r="EKD12" s="2146"/>
      <c r="EKE12" s="2146"/>
      <c r="EKR12" s="103"/>
      <c r="EKT12" s="2146"/>
      <c r="EKU12" s="2146"/>
      <c r="ELH12" s="103"/>
      <c r="ELJ12" s="2146"/>
      <c r="ELK12" s="2146"/>
      <c r="ELX12" s="103"/>
      <c r="ELZ12" s="2146"/>
      <c r="EMA12" s="2146"/>
      <c r="EMN12" s="103"/>
      <c r="EMP12" s="2146"/>
      <c r="EMQ12" s="2146"/>
      <c r="END12" s="103"/>
      <c r="ENF12" s="2146"/>
      <c r="ENG12" s="2146"/>
      <c r="ENT12" s="103"/>
      <c r="ENV12" s="2146"/>
      <c r="ENW12" s="2146"/>
      <c r="EOJ12" s="103"/>
      <c r="EOL12" s="2146"/>
      <c r="EOM12" s="2146"/>
      <c r="EOZ12" s="103"/>
      <c r="EPB12" s="2146"/>
      <c r="EPC12" s="2146"/>
      <c r="EPP12" s="103"/>
      <c r="EPR12" s="2146"/>
      <c r="EPS12" s="2146"/>
      <c r="EQF12" s="103"/>
      <c r="EQH12" s="2146"/>
      <c r="EQI12" s="2146"/>
      <c r="EQV12" s="103"/>
      <c r="EQX12" s="2146"/>
      <c r="EQY12" s="2146"/>
      <c r="ERL12" s="103"/>
      <c r="ERN12" s="2146"/>
      <c r="ERO12" s="2146"/>
      <c r="ESB12" s="103"/>
      <c r="ESD12" s="2146"/>
      <c r="ESE12" s="2146"/>
      <c r="ESR12" s="103"/>
      <c r="EST12" s="2146"/>
      <c r="ESU12" s="2146"/>
      <c r="ETH12" s="103"/>
      <c r="ETJ12" s="2146"/>
      <c r="ETK12" s="2146"/>
      <c r="ETX12" s="103"/>
      <c r="ETZ12" s="2146"/>
      <c r="EUA12" s="2146"/>
      <c r="EUN12" s="103"/>
      <c r="EUP12" s="2146"/>
      <c r="EUQ12" s="2146"/>
      <c r="EVD12" s="103"/>
      <c r="EVF12" s="2146"/>
      <c r="EVG12" s="2146"/>
      <c r="EVT12" s="103"/>
      <c r="EVV12" s="2146"/>
      <c r="EVW12" s="2146"/>
      <c r="EWJ12" s="103"/>
      <c r="EWL12" s="2146"/>
      <c r="EWM12" s="2146"/>
      <c r="EWZ12" s="103"/>
      <c r="EXB12" s="2146"/>
      <c r="EXC12" s="2146"/>
      <c r="EXP12" s="103"/>
      <c r="EXR12" s="2146"/>
      <c r="EXS12" s="2146"/>
      <c r="EYF12" s="103"/>
      <c r="EYH12" s="2146"/>
      <c r="EYI12" s="2146"/>
      <c r="EYV12" s="103"/>
      <c r="EYX12" s="2146"/>
      <c r="EYY12" s="2146"/>
      <c r="EZL12" s="103"/>
      <c r="EZN12" s="2146"/>
      <c r="EZO12" s="2146"/>
      <c r="FAB12" s="103"/>
      <c r="FAD12" s="2146"/>
      <c r="FAE12" s="2146"/>
      <c r="FAR12" s="103"/>
      <c r="FAT12" s="2146"/>
      <c r="FAU12" s="2146"/>
      <c r="FBH12" s="103"/>
      <c r="FBJ12" s="2146"/>
      <c r="FBK12" s="2146"/>
      <c r="FBX12" s="103"/>
      <c r="FBZ12" s="2146"/>
      <c r="FCA12" s="2146"/>
      <c r="FCN12" s="103"/>
      <c r="FCP12" s="2146"/>
      <c r="FCQ12" s="2146"/>
      <c r="FDD12" s="103"/>
      <c r="FDF12" s="2146"/>
      <c r="FDG12" s="2146"/>
      <c r="FDT12" s="103"/>
      <c r="FDV12" s="2146"/>
      <c r="FDW12" s="2146"/>
      <c r="FEJ12" s="103"/>
      <c r="FEL12" s="2146"/>
      <c r="FEM12" s="2146"/>
      <c r="FEZ12" s="103"/>
      <c r="FFB12" s="2146"/>
      <c r="FFC12" s="2146"/>
      <c r="FFP12" s="103"/>
      <c r="FFR12" s="2146"/>
      <c r="FFS12" s="2146"/>
      <c r="FGF12" s="103"/>
      <c r="FGH12" s="2146"/>
      <c r="FGI12" s="2146"/>
      <c r="FGV12" s="103"/>
      <c r="FGX12" s="2146"/>
      <c r="FGY12" s="2146"/>
      <c r="FHL12" s="103"/>
      <c r="FHN12" s="2146"/>
      <c r="FHO12" s="2146"/>
      <c r="FIB12" s="103"/>
      <c r="FID12" s="2146"/>
      <c r="FIE12" s="2146"/>
      <c r="FIR12" s="103"/>
      <c r="FIT12" s="2146"/>
      <c r="FIU12" s="2146"/>
      <c r="FJH12" s="103"/>
      <c r="FJJ12" s="2146"/>
      <c r="FJK12" s="2146"/>
      <c r="FJX12" s="103"/>
      <c r="FJZ12" s="2146"/>
      <c r="FKA12" s="2146"/>
      <c r="FKN12" s="103"/>
      <c r="FKP12" s="2146"/>
      <c r="FKQ12" s="2146"/>
      <c r="FLD12" s="103"/>
      <c r="FLF12" s="2146"/>
      <c r="FLG12" s="2146"/>
      <c r="FLT12" s="103"/>
      <c r="FLV12" s="2146"/>
      <c r="FLW12" s="2146"/>
      <c r="FMJ12" s="103"/>
      <c r="FML12" s="2146"/>
      <c r="FMM12" s="2146"/>
      <c r="FMZ12" s="103"/>
      <c r="FNB12" s="2146"/>
      <c r="FNC12" s="2146"/>
      <c r="FNP12" s="103"/>
      <c r="FNR12" s="2146"/>
      <c r="FNS12" s="2146"/>
      <c r="FOF12" s="103"/>
      <c r="FOH12" s="2146"/>
      <c r="FOI12" s="2146"/>
      <c r="FOV12" s="103"/>
      <c r="FOX12" s="2146"/>
      <c r="FOY12" s="2146"/>
      <c r="FPL12" s="103"/>
      <c r="FPN12" s="2146"/>
      <c r="FPO12" s="2146"/>
      <c r="FQB12" s="103"/>
      <c r="FQD12" s="2146"/>
      <c r="FQE12" s="2146"/>
      <c r="FQR12" s="103"/>
      <c r="FQT12" s="2146"/>
      <c r="FQU12" s="2146"/>
      <c r="FRH12" s="103"/>
      <c r="FRJ12" s="2146"/>
      <c r="FRK12" s="2146"/>
      <c r="FRX12" s="103"/>
      <c r="FRZ12" s="2146"/>
      <c r="FSA12" s="2146"/>
      <c r="FSN12" s="103"/>
      <c r="FSP12" s="2146"/>
      <c r="FSQ12" s="2146"/>
      <c r="FTD12" s="103"/>
      <c r="FTF12" s="2146"/>
      <c r="FTG12" s="2146"/>
      <c r="FTT12" s="103"/>
      <c r="FTV12" s="2146"/>
      <c r="FTW12" s="2146"/>
      <c r="FUJ12" s="103"/>
      <c r="FUL12" s="2146"/>
      <c r="FUM12" s="2146"/>
      <c r="FUZ12" s="103"/>
      <c r="FVB12" s="2146"/>
      <c r="FVC12" s="2146"/>
      <c r="FVP12" s="103"/>
      <c r="FVR12" s="2146"/>
      <c r="FVS12" s="2146"/>
      <c r="FWF12" s="103"/>
      <c r="FWH12" s="2146"/>
      <c r="FWI12" s="2146"/>
      <c r="FWV12" s="103"/>
      <c r="FWX12" s="2146"/>
      <c r="FWY12" s="2146"/>
      <c r="FXL12" s="103"/>
      <c r="FXN12" s="2146"/>
      <c r="FXO12" s="2146"/>
      <c r="FYB12" s="103"/>
      <c r="FYD12" s="2146"/>
      <c r="FYE12" s="2146"/>
      <c r="FYR12" s="103"/>
      <c r="FYT12" s="2146"/>
      <c r="FYU12" s="2146"/>
      <c r="FZH12" s="103"/>
      <c r="FZJ12" s="2146"/>
      <c r="FZK12" s="2146"/>
      <c r="FZX12" s="103"/>
      <c r="FZZ12" s="2146"/>
      <c r="GAA12" s="2146"/>
      <c r="GAN12" s="103"/>
      <c r="GAP12" s="2146"/>
      <c r="GAQ12" s="2146"/>
      <c r="GBD12" s="103"/>
      <c r="GBF12" s="2146"/>
      <c r="GBG12" s="2146"/>
      <c r="GBT12" s="103"/>
      <c r="GBV12" s="2146"/>
      <c r="GBW12" s="2146"/>
      <c r="GCJ12" s="103"/>
      <c r="GCL12" s="2146"/>
      <c r="GCM12" s="2146"/>
      <c r="GCZ12" s="103"/>
      <c r="GDB12" s="2146"/>
      <c r="GDC12" s="2146"/>
      <c r="GDP12" s="103"/>
      <c r="GDR12" s="2146"/>
      <c r="GDS12" s="2146"/>
      <c r="GEF12" s="103"/>
      <c r="GEH12" s="2146"/>
      <c r="GEI12" s="2146"/>
      <c r="GEV12" s="103"/>
      <c r="GEX12" s="2146"/>
      <c r="GEY12" s="2146"/>
      <c r="GFL12" s="103"/>
      <c r="GFN12" s="2146"/>
      <c r="GFO12" s="2146"/>
      <c r="GGB12" s="103"/>
      <c r="GGD12" s="2146"/>
      <c r="GGE12" s="2146"/>
      <c r="GGR12" s="103"/>
      <c r="GGT12" s="2146"/>
      <c r="GGU12" s="2146"/>
      <c r="GHH12" s="103"/>
      <c r="GHJ12" s="2146"/>
      <c r="GHK12" s="2146"/>
      <c r="GHX12" s="103"/>
      <c r="GHZ12" s="2146"/>
      <c r="GIA12" s="2146"/>
      <c r="GIN12" s="103"/>
      <c r="GIP12" s="2146"/>
      <c r="GIQ12" s="2146"/>
      <c r="GJD12" s="103"/>
      <c r="GJF12" s="2146"/>
      <c r="GJG12" s="2146"/>
      <c r="GJT12" s="103"/>
      <c r="GJV12" s="2146"/>
      <c r="GJW12" s="2146"/>
      <c r="GKJ12" s="103"/>
      <c r="GKL12" s="2146"/>
      <c r="GKM12" s="2146"/>
      <c r="GKZ12" s="103"/>
      <c r="GLB12" s="2146"/>
      <c r="GLC12" s="2146"/>
      <c r="GLP12" s="103"/>
      <c r="GLR12" s="2146"/>
      <c r="GLS12" s="2146"/>
      <c r="GMF12" s="103"/>
      <c r="GMH12" s="2146"/>
      <c r="GMI12" s="2146"/>
      <c r="GMV12" s="103"/>
      <c r="GMX12" s="2146"/>
      <c r="GMY12" s="2146"/>
      <c r="GNL12" s="103"/>
      <c r="GNN12" s="2146"/>
      <c r="GNO12" s="2146"/>
      <c r="GOB12" s="103"/>
      <c r="GOD12" s="2146"/>
      <c r="GOE12" s="2146"/>
      <c r="GOR12" s="103"/>
      <c r="GOT12" s="2146"/>
      <c r="GOU12" s="2146"/>
      <c r="GPH12" s="103"/>
      <c r="GPJ12" s="2146"/>
      <c r="GPK12" s="2146"/>
      <c r="GPX12" s="103"/>
      <c r="GPZ12" s="2146"/>
      <c r="GQA12" s="2146"/>
      <c r="GQN12" s="103"/>
      <c r="GQP12" s="2146"/>
      <c r="GQQ12" s="2146"/>
      <c r="GRD12" s="103"/>
      <c r="GRF12" s="2146"/>
      <c r="GRG12" s="2146"/>
      <c r="GRT12" s="103"/>
      <c r="GRV12" s="2146"/>
      <c r="GRW12" s="2146"/>
      <c r="GSJ12" s="103"/>
      <c r="GSL12" s="2146"/>
      <c r="GSM12" s="2146"/>
      <c r="GSZ12" s="103"/>
      <c r="GTB12" s="2146"/>
      <c r="GTC12" s="2146"/>
      <c r="GTP12" s="103"/>
      <c r="GTR12" s="2146"/>
      <c r="GTS12" s="2146"/>
      <c r="GUF12" s="103"/>
      <c r="GUH12" s="2146"/>
      <c r="GUI12" s="2146"/>
      <c r="GUV12" s="103"/>
      <c r="GUX12" s="2146"/>
      <c r="GUY12" s="2146"/>
      <c r="GVL12" s="103"/>
      <c r="GVN12" s="2146"/>
      <c r="GVO12" s="2146"/>
      <c r="GWB12" s="103"/>
      <c r="GWD12" s="2146"/>
      <c r="GWE12" s="2146"/>
      <c r="GWR12" s="103"/>
      <c r="GWT12" s="2146"/>
      <c r="GWU12" s="2146"/>
      <c r="GXH12" s="103"/>
      <c r="GXJ12" s="2146"/>
      <c r="GXK12" s="2146"/>
      <c r="GXX12" s="103"/>
      <c r="GXZ12" s="2146"/>
      <c r="GYA12" s="2146"/>
      <c r="GYN12" s="103"/>
      <c r="GYP12" s="2146"/>
      <c r="GYQ12" s="2146"/>
      <c r="GZD12" s="103"/>
      <c r="GZF12" s="2146"/>
      <c r="GZG12" s="2146"/>
      <c r="GZT12" s="103"/>
      <c r="GZV12" s="2146"/>
      <c r="GZW12" s="2146"/>
      <c r="HAJ12" s="103"/>
      <c r="HAL12" s="2146"/>
      <c r="HAM12" s="2146"/>
      <c r="HAZ12" s="103"/>
      <c r="HBB12" s="2146"/>
      <c r="HBC12" s="2146"/>
      <c r="HBP12" s="103"/>
      <c r="HBR12" s="2146"/>
      <c r="HBS12" s="2146"/>
      <c r="HCF12" s="103"/>
      <c r="HCH12" s="2146"/>
      <c r="HCI12" s="2146"/>
      <c r="HCV12" s="103"/>
      <c r="HCX12" s="2146"/>
      <c r="HCY12" s="2146"/>
      <c r="HDL12" s="103"/>
      <c r="HDN12" s="2146"/>
      <c r="HDO12" s="2146"/>
      <c r="HEB12" s="103"/>
      <c r="HED12" s="2146"/>
      <c r="HEE12" s="2146"/>
      <c r="HER12" s="103"/>
      <c r="HET12" s="2146"/>
      <c r="HEU12" s="2146"/>
      <c r="HFH12" s="103"/>
      <c r="HFJ12" s="2146"/>
      <c r="HFK12" s="2146"/>
      <c r="HFX12" s="103"/>
      <c r="HFZ12" s="2146"/>
      <c r="HGA12" s="2146"/>
      <c r="HGN12" s="103"/>
      <c r="HGP12" s="2146"/>
      <c r="HGQ12" s="2146"/>
      <c r="HHD12" s="103"/>
      <c r="HHF12" s="2146"/>
      <c r="HHG12" s="2146"/>
      <c r="HHT12" s="103"/>
      <c r="HHV12" s="2146"/>
      <c r="HHW12" s="2146"/>
      <c r="HIJ12" s="103"/>
      <c r="HIL12" s="2146"/>
      <c r="HIM12" s="2146"/>
      <c r="HIZ12" s="103"/>
      <c r="HJB12" s="2146"/>
      <c r="HJC12" s="2146"/>
      <c r="HJP12" s="103"/>
      <c r="HJR12" s="2146"/>
      <c r="HJS12" s="2146"/>
      <c r="HKF12" s="103"/>
      <c r="HKH12" s="2146"/>
      <c r="HKI12" s="2146"/>
      <c r="HKV12" s="103"/>
      <c r="HKX12" s="2146"/>
      <c r="HKY12" s="2146"/>
      <c r="HLL12" s="103"/>
      <c r="HLN12" s="2146"/>
      <c r="HLO12" s="2146"/>
      <c r="HMB12" s="103"/>
      <c r="HMD12" s="2146"/>
      <c r="HME12" s="2146"/>
      <c r="HMR12" s="103"/>
      <c r="HMT12" s="2146"/>
      <c r="HMU12" s="2146"/>
      <c r="HNH12" s="103"/>
      <c r="HNJ12" s="2146"/>
      <c r="HNK12" s="2146"/>
      <c r="HNX12" s="103"/>
      <c r="HNZ12" s="2146"/>
      <c r="HOA12" s="2146"/>
      <c r="HON12" s="103"/>
      <c r="HOP12" s="2146"/>
      <c r="HOQ12" s="2146"/>
      <c r="HPD12" s="103"/>
      <c r="HPF12" s="2146"/>
      <c r="HPG12" s="2146"/>
      <c r="HPT12" s="103"/>
      <c r="HPV12" s="2146"/>
      <c r="HPW12" s="2146"/>
      <c r="HQJ12" s="103"/>
      <c r="HQL12" s="2146"/>
      <c r="HQM12" s="2146"/>
      <c r="HQZ12" s="103"/>
      <c r="HRB12" s="2146"/>
      <c r="HRC12" s="2146"/>
      <c r="HRP12" s="103"/>
      <c r="HRR12" s="2146"/>
      <c r="HRS12" s="2146"/>
      <c r="HSF12" s="103"/>
      <c r="HSH12" s="2146"/>
      <c r="HSI12" s="2146"/>
      <c r="HSV12" s="103"/>
      <c r="HSX12" s="2146"/>
      <c r="HSY12" s="2146"/>
      <c r="HTL12" s="103"/>
      <c r="HTN12" s="2146"/>
      <c r="HTO12" s="2146"/>
      <c r="HUB12" s="103"/>
      <c r="HUD12" s="2146"/>
      <c r="HUE12" s="2146"/>
      <c r="HUR12" s="103"/>
      <c r="HUT12" s="2146"/>
      <c r="HUU12" s="2146"/>
      <c r="HVH12" s="103"/>
      <c r="HVJ12" s="2146"/>
      <c r="HVK12" s="2146"/>
      <c r="HVX12" s="103"/>
      <c r="HVZ12" s="2146"/>
      <c r="HWA12" s="2146"/>
      <c r="HWN12" s="103"/>
      <c r="HWP12" s="2146"/>
      <c r="HWQ12" s="2146"/>
      <c r="HXD12" s="103"/>
      <c r="HXF12" s="2146"/>
      <c r="HXG12" s="2146"/>
      <c r="HXT12" s="103"/>
      <c r="HXV12" s="2146"/>
      <c r="HXW12" s="2146"/>
      <c r="HYJ12" s="103"/>
      <c r="HYL12" s="2146"/>
      <c r="HYM12" s="2146"/>
      <c r="HYZ12" s="103"/>
      <c r="HZB12" s="2146"/>
      <c r="HZC12" s="2146"/>
      <c r="HZP12" s="103"/>
      <c r="HZR12" s="2146"/>
      <c r="HZS12" s="2146"/>
      <c r="IAF12" s="103"/>
      <c r="IAH12" s="2146"/>
      <c r="IAI12" s="2146"/>
      <c r="IAV12" s="103"/>
      <c r="IAX12" s="2146"/>
      <c r="IAY12" s="2146"/>
      <c r="IBL12" s="103"/>
      <c r="IBN12" s="2146"/>
      <c r="IBO12" s="2146"/>
      <c r="ICB12" s="103"/>
      <c r="ICD12" s="2146"/>
      <c r="ICE12" s="2146"/>
      <c r="ICR12" s="103"/>
      <c r="ICT12" s="2146"/>
      <c r="ICU12" s="2146"/>
      <c r="IDH12" s="103"/>
      <c r="IDJ12" s="2146"/>
      <c r="IDK12" s="2146"/>
      <c r="IDX12" s="103"/>
      <c r="IDZ12" s="2146"/>
      <c r="IEA12" s="2146"/>
      <c r="IEN12" s="103"/>
      <c r="IEP12" s="2146"/>
      <c r="IEQ12" s="2146"/>
      <c r="IFD12" s="103"/>
      <c r="IFF12" s="2146"/>
      <c r="IFG12" s="2146"/>
      <c r="IFT12" s="103"/>
      <c r="IFV12" s="2146"/>
      <c r="IFW12" s="2146"/>
      <c r="IGJ12" s="103"/>
      <c r="IGL12" s="2146"/>
      <c r="IGM12" s="2146"/>
      <c r="IGZ12" s="103"/>
      <c r="IHB12" s="2146"/>
      <c r="IHC12" s="2146"/>
      <c r="IHP12" s="103"/>
      <c r="IHR12" s="2146"/>
      <c r="IHS12" s="2146"/>
      <c r="IIF12" s="103"/>
      <c r="IIH12" s="2146"/>
      <c r="III12" s="2146"/>
      <c r="IIV12" s="103"/>
      <c r="IIX12" s="2146"/>
      <c r="IIY12" s="2146"/>
      <c r="IJL12" s="103"/>
      <c r="IJN12" s="2146"/>
      <c r="IJO12" s="2146"/>
      <c r="IKB12" s="103"/>
      <c r="IKD12" s="2146"/>
      <c r="IKE12" s="2146"/>
      <c r="IKR12" s="103"/>
      <c r="IKT12" s="2146"/>
      <c r="IKU12" s="2146"/>
      <c r="ILH12" s="103"/>
      <c r="ILJ12" s="2146"/>
      <c r="ILK12" s="2146"/>
      <c r="ILX12" s="103"/>
      <c r="ILZ12" s="2146"/>
      <c r="IMA12" s="2146"/>
      <c r="IMN12" s="103"/>
      <c r="IMP12" s="2146"/>
      <c r="IMQ12" s="2146"/>
      <c r="IND12" s="103"/>
      <c r="INF12" s="2146"/>
      <c r="ING12" s="2146"/>
      <c r="INT12" s="103"/>
      <c r="INV12" s="2146"/>
      <c r="INW12" s="2146"/>
      <c r="IOJ12" s="103"/>
      <c r="IOL12" s="2146"/>
      <c r="IOM12" s="2146"/>
      <c r="IOZ12" s="103"/>
      <c r="IPB12" s="2146"/>
      <c r="IPC12" s="2146"/>
      <c r="IPP12" s="103"/>
      <c r="IPR12" s="2146"/>
      <c r="IPS12" s="2146"/>
      <c r="IQF12" s="103"/>
      <c r="IQH12" s="2146"/>
      <c r="IQI12" s="2146"/>
      <c r="IQV12" s="103"/>
      <c r="IQX12" s="2146"/>
      <c r="IQY12" s="2146"/>
      <c r="IRL12" s="103"/>
      <c r="IRN12" s="2146"/>
      <c r="IRO12" s="2146"/>
      <c r="ISB12" s="103"/>
      <c r="ISD12" s="2146"/>
      <c r="ISE12" s="2146"/>
      <c r="ISR12" s="103"/>
      <c r="IST12" s="2146"/>
      <c r="ISU12" s="2146"/>
      <c r="ITH12" s="103"/>
      <c r="ITJ12" s="2146"/>
      <c r="ITK12" s="2146"/>
      <c r="ITX12" s="103"/>
      <c r="ITZ12" s="2146"/>
      <c r="IUA12" s="2146"/>
      <c r="IUN12" s="103"/>
      <c r="IUP12" s="2146"/>
      <c r="IUQ12" s="2146"/>
      <c r="IVD12" s="103"/>
      <c r="IVF12" s="2146"/>
      <c r="IVG12" s="2146"/>
      <c r="IVT12" s="103"/>
      <c r="IVV12" s="2146"/>
      <c r="IVW12" s="2146"/>
      <c r="IWJ12" s="103"/>
      <c r="IWL12" s="2146"/>
      <c r="IWM12" s="2146"/>
      <c r="IWZ12" s="103"/>
      <c r="IXB12" s="2146"/>
      <c r="IXC12" s="2146"/>
      <c r="IXP12" s="103"/>
      <c r="IXR12" s="2146"/>
      <c r="IXS12" s="2146"/>
      <c r="IYF12" s="103"/>
      <c r="IYH12" s="2146"/>
      <c r="IYI12" s="2146"/>
      <c r="IYV12" s="103"/>
      <c r="IYX12" s="2146"/>
      <c r="IYY12" s="2146"/>
      <c r="IZL12" s="103"/>
      <c r="IZN12" s="2146"/>
      <c r="IZO12" s="2146"/>
      <c r="JAB12" s="103"/>
      <c r="JAD12" s="2146"/>
      <c r="JAE12" s="2146"/>
      <c r="JAR12" s="103"/>
      <c r="JAT12" s="2146"/>
      <c r="JAU12" s="2146"/>
      <c r="JBH12" s="103"/>
      <c r="JBJ12" s="2146"/>
      <c r="JBK12" s="2146"/>
      <c r="JBX12" s="103"/>
      <c r="JBZ12" s="2146"/>
      <c r="JCA12" s="2146"/>
      <c r="JCN12" s="103"/>
      <c r="JCP12" s="2146"/>
      <c r="JCQ12" s="2146"/>
      <c r="JDD12" s="103"/>
      <c r="JDF12" s="2146"/>
      <c r="JDG12" s="2146"/>
      <c r="JDT12" s="103"/>
      <c r="JDV12" s="2146"/>
      <c r="JDW12" s="2146"/>
      <c r="JEJ12" s="103"/>
      <c r="JEL12" s="2146"/>
      <c r="JEM12" s="2146"/>
      <c r="JEZ12" s="103"/>
      <c r="JFB12" s="2146"/>
      <c r="JFC12" s="2146"/>
      <c r="JFP12" s="103"/>
      <c r="JFR12" s="2146"/>
      <c r="JFS12" s="2146"/>
      <c r="JGF12" s="103"/>
      <c r="JGH12" s="2146"/>
      <c r="JGI12" s="2146"/>
      <c r="JGV12" s="103"/>
      <c r="JGX12" s="2146"/>
      <c r="JGY12" s="2146"/>
      <c r="JHL12" s="103"/>
      <c r="JHN12" s="2146"/>
      <c r="JHO12" s="2146"/>
      <c r="JIB12" s="103"/>
      <c r="JID12" s="2146"/>
      <c r="JIE12" s="2146"/>
      <c r="JIR12" s="103"/>
      <c r="JIT12" s="2146"/>
      <c r="JIU12" s="2146"/>
      <c r="JJH12" s="103"/>
      <c r="JJJ12" s="2146"/>
      <c r="JJK12" s="2146"/>
      <c r="JJX12" s="103"/>
      <c r="JJZ12" s="2146"/>
      <c r="JKA12" s="2146"/>
      <c r="JKN12" s="103"/>
      <c r="JKP12" s="2146"/>
      <c r="JKQ12" s="2146"/>
      <c r="JLD12" s="103"/>
      <c r="JLF12" s="2146"/>
      <c r="JLG12" s="2146"/>
      <c r="JLT12" s="103"/>
      <c r="JLV12" s="2146"/>
      <c r="JLW12" s="2146"/>
      <c r="JMJ12" s="103"/>
      <c r="JML12" s="2146"/>
      <c r="JMM12" s="2146"/>
      <c r="JMZ12" s="103"/>
      <c r="JNB12" s="2146"/>
      <c r="JNC12" s="2146"/>
      <c r="JNP12" s="103"/>
      <c r="JNR12" s="2146"/>
      <c r="JNS12" s="2146"/>
      <c r="JOF12" s="103"/>
      <c r="JOH12" s="2146"/>
      <c r="JOI12" s="2146"/>
      <c r="JOV12" s="103"/>
      <c r="JOX12" s="2146"/>
      <c r="JOY12" s="2146"/>
      <c r="JPL12" s="103"/>
      <c r="JPN12" s="2146"/>
      <c r="JPO12" s="2146"/>
      <c r="JQB12" s="103"/>
      <c r="JQD12" s="2146"/>
      <c r="JQE12" s="2146"/>
      <c r="JQR12" s="103"/>
      <c r="JQT12" s="2146"/>
      <c r="JQU12" s="2146"/>
      <c r="JRH12" s="103"/>
      <c r="JRJ12" s="2146"/>
      <c r="JRK12" s="2146"/>
      <c r="JRX12" s="103"/>
      <c r="JRZ12" s="2146"/>
      <c r="JSA12" s="2146"/>
      <c r="JSN12" s="103"/>
      <c r="JSP12" s="2146"/>
      <c r="JSQ12" s="2146"/>
      <c r="JTD12" s="103"/>
      <c r="JTF12" s="2146"/>
      <c r="JTG12" s="2146"/>
      <c r="JTT12" s="103"/>
      <c r="JTV12" s="2146"/>
      <c r="JTW12" s="2146"/>
      <c r="JUJ12" s="103"/>
      <c r="JUL12" s="2146"/>
      <c r="JUM12" s="2146"/>
      <c r="JUZ12" s="103"/>
      <c r="JVB12" s="2146"/>
      <c r="JVC12" s="2146"/>
      <c r="JVP12" s="103"/>
      <c r="JVR12" s="2146"/>
      <c r="JVS12" s="2146"/>
      <c r="JWF12" s="103"/>
      <c r="JWH12" s="2146"/>
      <c r="JWI12" s="2146"/>
      <c r="JWV12" s="103"/>
      <c r="JWX12" s="2146"/>
      <c r="JWY12" s="2146"/>
      <c r="JXL12" s="103"/>
      <c r="JXN12" s="2146"/>
      <c r="JXO12" s="2146"/>
      <c r="JYB12" s="103"/>
      <c r="JYD12" s="2146"/>
      <c r="JYE12" s="2146"/>
      <c r="JYR12" s="103"/>
      <c r="JYT12" s="2146"/>
      <c r="JYU12" s="2146"/>
      <c r="JZH12" s="103"/>
      <c r="JZJ12" s="2146"/>
      <c r="JZK12" s="2146"/>
      <c r="JZX12" s="103"/>
      <c r="JZZ12" s="2146"/>
      <c r="KAA12" s="2146"/>
      <c r="KAN12" s="103"/>
      <c r="KAP12" s="2146"/>
      <c r="KAQ12" s="2146"/>
      <c r="KBD12" s="103"/>
      <c r="KBF12" s="2146"/>
      <c r="KBG12" s="2146"/>
      <c r="KBT12" s="103"/>
      <c r="KBV12" s="2146"/>
      <c r="KBW12" s="2146"/>
      <c r="KCJ12" s="103"/>
      <c r="KCL12" s="2146"/>
      <c r="KCM12" s="2146"/>
      <c r="KCZ12" s="103"/>
      <c r="KDB12" s="2146"/>
      <c r="KDC12" s="2146"/>
      <c r="KDP12" s="103"/>
      <c r="KDR12" s="2146"/>
      <c r="KDS12" s="2146"/>
      <c r="KEF12" s="103"/>
      <c r="KEH12" s="2146"/>
      <c r="KEI12" s="2146"/>
      <c r="KEV12" s="103"/>
      <c r="KEX12" s="2146"/>
      <c r="KEY12" s="2146"/>
      <c r="KFL12" s="103"/>
      <c r="KFN12" s="2146"/>
      <c r="KFO12" s="2146"/>
      <c r="KGB12" s="103"/>
      <c r="KGD12" s="2146"/>
      <c r="KGE12" s="2146"/>
      <c r="KGR12" s="103"/>
      <c r="KGT12" s="2146"/>
      <c r="KGU12" s="2146"/>
      <c r="KHH12" s="103"/>
      <c r="KHJ12" s="2146"/>
      <c r="KHK12" s="2146"/>
      <c r="KHX12" s="103"/>
      <c r="KHZ12" s="2146"/>
      <c r="KIA12" s="2146"/>
      <c r="KIN12" s="103"/>
      <c r="KIP12" s="2146"/>
      <c r="KIQ12" s="2146"/>
      <c r="KJD12" s="103"/>
      <c r="KJF12" s="2146"/>
      <c r="KJG12" s="2146"/>
      <c r="KJT12" s="103"/>
      <c r="KJV12" s="2146"/>
      <c r="KJW12" s="2146"/>
      <c r="KKJ12" s="103"/>
      <c r="KKL12" s="2146"/>
      <c r="KKM12" s="2146"/>
      <c r="KKZ12" s="103"/>
      <c r="KLB12" s="2146"/>
      <c r="KLC12" s="2146"/>
      <c r="KLP12" s="103"/>
      <c r="KLR12" s="2146"/>
      <c r="KLS12" s="2146"/>
      <c r="KMF12" s="103"/>
      <c r="KMH12" s="2146"/>
      <c r="KMI12" s="2146"/>
      <c r="KMV12" s="103"/>
      <c r="KMX12" s="2146"/>
      <c r="KMY12" s="2146"/>
      <c r="KNL12" s="103"/>
      <c r="KNN12" s="2146"/>
      <c r="KNO12" s="2146"/>
      <c r="KOB12" s="103"/>
      <c r="KOD12" s="2146"/>
      <c r="KOE12" s="2146"/>
      <c r="KOR12" s="103"/>
      <c r="KOT12" s="2146"/>
      <c r="KOU12" s="2146"/>
      <c r="KPH12" s="103"/>
      <c r="KPJ12" s="2146"/>
      <c r="KPK12" s="2146"/>
      <c r="KPX12" s="103"/>
      <c r="KPZ12" s="2146"/>
      <c r="KQA12" s="2146"/>
      <c r="KQN12" s="103"/>
      <c r="KQP12" s="2146"/>
      <c r="KQQ12" s="2146"/>
      <c r="KRD12" s="103"/>
      <c r="KRF12" s="2146"/>
      <c r="KRG12" s="2146"/>
      <c r="KRT12" s="103"/>
      <c r="KRV12" s="2146"/>
      <c r="KRW12" s="2146"/>
      <c r="KSJ12" s="103"/>
      <c r="KSL12" s="2146"/>
      <c r="KSM12" s="2146"/>
      <c r="KSZ12" s="103"/>
      <c r="KTB12" s="2146"/>
      <c r="KTC12" s="2146"/>
      <c r="KTP12" s="103"/>
      <c r="KTR12" s="2146"/>
      <c r="KTS12" s="2146"/>
      <c r="KUF12" s="103"/>
      <c r="KUH12" s="2146"/>
      <c r="KUI12" s="2146"/>
      <c r="KUV12" s="103"/>
      <c r="KUX12" s="2146"/>
      <c r="KUY12" s="2146"/>
      <c r="KVL12" s="103"/>
      <c r="KVN12" s="2146"/>
      <c r="KVO12" s="2146"/>
      <c r="KWB12" s="103"/>
      <c r="KWD12" s="2146"/>
      <c r="KWE12" s="2146"/>
      <c r="KWR12" s="103"/>
      <c r="KWT12" s="2146"/>
      <c r="KWU12" s="2146"/>
      <c r="KXH12" s="103"/>
      <c r="KXJ12" s="2146"/>
      <c r="KXK12" s="2146"/>
      <c r="KXX12" s="103"/>
      <c r="KXZ12" s="2146"/>
      <c r="KYA12" s="2146"/>
      <c r="KYN12" s="103"/>
      <c r="KYP12" s="2146"/>
      <c r="KYQ12" s="2146"/>
      <c r="KZD12" s="103"/>
      <c r="KZF12" s="2146"/>
      <c r="KZG12" s="2146"/>
      <c r="KZT12" s="103"/>
      <c r="KZV12" s="2146"/>
      <c r="KZW12" s="2146"/>
      <c r="LAJ12" s="103"/>
      <c r="LAL12" s="2146"/>
      <c r="LAM12" s="2146"/>
      <c r="LAZ12" s="103"/>
      <c r="LBB12" s="2146"/>
      <c r="LBC12" s="2146"/>
      <c r="LBP12" s="103"/>
      <c r="LBR12" s="2146"/>
      <c r="LBS12" s="2146"/>
      <c r="LCF12" s="103"/>
      <c r="LCH12" s="2146"/>
      <c r="LCI12" s="2146"/>
      <c r="LCV12" s="103"/>
      <c r="LCX12" s="2146"/>
      <c r="LCY12" s="2146"/>
      <c r="LDL12" s="103"/>
      <c r="LDN12" s="2146"/>
      <c r="LDO12" s="2146"/>
      <c r="LEB12" s="103"/>
      <c r="LED12" s="2146"/>
      <c r="LEE12" s="2146"/>
      <c r="LER12" s="103"/>
      <c r="LET12" s="2146"/>
      <c r="LEU12" s="2146"/>
      <c r="LFH12" s="103"/>
      <c r="LFJ12" s="2146"/>
      <c r="LFK12" s="2146"/>
      <c r="LFX12" s="103"/>
      <c r="LFZ12" s="2146"/>
      <c r="LGA12" s="2146"/>
      <c r="LGN12" s="103"/>
      <c r="LGP12" s="2146"/>
      <c r="LGQ12" s="2146"/>
      <c r="LHD12" s="103"/>
      <c r="LHF12" s="2146"/>
      <c r="LHG12" s="2146"/>
      <c r="LHT12" s="103"/>
      <c r="LHV12" s="2146"/>
      <c r="LHW12" s="2146"/>
      <c r="LIJ12" s="103"/>
      <c r="LIL12" s="2146"/>
      <c r="LIM12" s="2146"/>
      <c r="LIZ12" s="103"/>
      <c r="LJB12" s="2146"/>
      <c r="LJC12" s="2146"/>
      <c r="LJP12" s="103"/>
      <c r="LJR12" s="2146"/>
      <c r="LJS12" s="2146"/>
      <c r="LKF12" s="103"/>
      <c r="LKH12" s="2146"/>
      <c r="LKI12" s="2146"/>
      <c r="LKV12" s="103"/>
      <c r="LKX12" s="2146"/>
      <c r="LKY12" s="2146"/>
      <c r="LLL12" s="103"/>
      <c r="LLN12" s="2146"/>
      <c r="LLO12" s="2146"/>
      <c r="LMB12" s="103"/>
      <c r="LMD12" s="2146"/>
      <c r="LME12" s="2146"/>
      <c r="LMR12" s="103"/>
      <c r="LMT12" s="2146"/>
      <c r="LMU12" s="2146"/>
      <c r="LNH12" s="103"/>
      <c r="LNJ12" s="2146"/>
      <c r="LNK12" s="2146"/>
      <c r="LNX12" s="103"/>
      <c r="LNZ12" s="2146"/>
      <c r="LOA12" s="2146"/>
      <c r="LON12" s="103"/>
      <c r="LOP12" s="2146"/>
      <c r="LOQ12" s="2146"/>
      <c r="LPD12" s="103"/>
      <c r="LPF12" s="2146"/>
      <c r="LPG12" s="2146"/>
      <c r="LPT12" s="103"/>
      <c r="LPV12" s="2146"/>
      <c r="LPW12" s="2146"/>
      <c r="LQJ12" s="103"/>
      <c r="LQL12" s="2146"/>
      <c r="LQM12" s="2146"/>
      <c r="LQZ12" s="103"/>
      <c r="LRB12" s="2146"/>
      <c r="LRC12" s="2146"/>
      <c r="LRP12" s="103"/>
      <c r="LRR12" s="2146"/>
      <c r="LRS12" s="2146"/>
      <c r="LSF12" s="103"/>
      <c r="LSH12" s="2146"/>
      <c r="LSI12" s="2146"/>
      <c r="LSV12" s="103"/>
      <c r="LSX12" s="2146"/>
      <c r="LSY12" s="2146"/>
      <c r="LTL12" s="103"/>
      <c r="LTN12" s="2146"/>
      <c r="LTO12" s="2146"/>
      <c r="LUB12" s="103"/>
      <c r="LUD12" s="2146"/>
      <c r="LUE12" s="2146"/>
      <c r="LUR12" s="103"/>
      <c r="LUT12" s="2146"/>
      <c r="LUU12" s="2146"/>
      <c r="LVH12" s="103"/>
      <c r="LVJ12" s="2146"/>
      <c r="LVK12" s="2146"/>
      <c r="LVX12" s="103"/>
      <c r="LVZ12" s="2146"/>
      <c r="LWA12" s="2146"/>
      <c r="LWN12" s="103"/>
      <c r="LWP12" s="2146"/>
      <c r="LWQ12" s="2146"/>
      <c r="LXD12" s="103"/>
      <c r="LXF12" s="2146"/>
      <c r="LXG12" s="2146"/>
      <c r="LXT12" s="103"/>
      <c r="LXV12" s="2146"/>
      <c r="LXW12" s="2146"/>
      <c r="LYJ12" s="103"/>
      <c r="LYL12" s="2146"/>
      <c r="LYM12" s="2146"/>
      <c r="LYZ12" s="103"/>
      <c r="LZB12" s="2146"/>
      <c r="LZC12" s="2146"/>
      <c r="LZP12" s="103"/>
      <c r="LZR12" s="2146"/>
      <c r="LZS12" s="2146"/>
      <c r="MAF12" s="103"/>
      <c r="MAH12" s="2146"/>
      <c r="MAI12" s="2146"/>
      <c r="MAV12" s="103"/>
      <c r="MAX12" s="2146"/>
      <c r="MAY12" s="2146"/>
      <c r="MBL12" s="103"/>
      <c r="MBN12" s="2146"/>
      <c r="MBO12" s="2146"/>
      <c r="MCB12" s="103"/>
      <c r="MCD12" s="2146"/>
      <c r="MCE12" s="2146"/>
      <c r="MCR12" s="103"/>
      <c r="MCT12" s="2146"/>
      <c r="MCU12" s="2146"/>
      <c r="MDH12" s="103"/>
      <c r="MDJ12" s="2146"/>
      <c r="MDK12" s="2146"/>
      <c r="MDX12" s="103"/>
      <c r="MDZ12" s="2146"/>
      <c r="MEA12" s="2146"/>
      <c r="MEN12" s="103"/>
      <c r="MEP12" s="2146"/>
      <c r="MEQ12" s="2146"/>
      <c r="MFD12" s="103"/>
      <c r="MFF12" s="2146"/>
      <c r="MFG12" s="2146"/>
      <c r="MFT12" s="103"/>
      <c r="MFV12" s="2146"/>
      <c r="MFW12" s="2146"/>
      <c r="MGJ12" s="103"/>
      <c r="MGL12" s="2146"/>
      <c r="MGM12" s="2146"/>
      <c r="MGZ12" s="103"/>
      <c r="MHB12" s="2146"/>
      <c r="MHC12" s="2146"/>
      <c r="MHP12" s="103"/>
      <c r="MHR12" s="2146"/>
      <c r="MHS12" s="2146"/>
      <c r="MIF12" s="103"/>
      <c r="MIH12" s="2146"/>
      <c r="MII12" s="2146"/>
      <c r="MIV12" s="103"/>
      <c r="MIX12" s="2146"/>
      <c r="MIY12" s="2146"/>
      <c r="MJL12" s="103"/>
      <c r="MJN12" s="2146"/>
      <c r="MJO12" s="2146"/>
      <c r="MKB12" s="103"/>
      <c r="MKD12" s="2146"/>
      <c r="MKE12" s="2146"/>
      <c r="MKR12" s="103"/>
      <c r="MKT12" s="2146"/>
      <c r="MKU12" s="2146"/>
      <c r="MLH12" s="103"/>
      <c r="MLJ12" s="2146"/>
      <c r="MLK12" s="2146"/>
      <c r="MLX12" s="103"/>
      <c r="MLZ12" s="2146"/>
      <c r="MMA12" s="2146"/>
      <c r="MMN12" s="103"/>
      <c r="MMP12" s="2146"/>
      <c r="MMQ12" s="2146"/>
      <c r="MND12" s="103"/>
      <c r="MNF12" s="2146"/>
      <c r="MNG12" s="2146"/>
      <c r="MNT12" s="103"/>
      <c r="MNV12" s="2146"/>
      <c r="MNW12" s="2146"/>
      <c r="MOJ12" s="103"/>
      <c r="MOL12" s="2146"/>
      <c r="MOM12" s="2146"/>
      <c r="MOZ12" s="103"/>
      <c r="MPB12" s="2146"/>
      <c r="MPC12" s="2146"/>
      <c r="MPP12" s="103"/>
      <c r="MPR12" s="2146"/>
      <c r="MPS12" s="2146"/>
      <c r="MQF12" s="103"/>
      <c r="MQH12" s="2146"/>
      <c r="MQI12" s="2146"/>
      <c r="MQV12" s="103"/>
      <c r="MQX12" s="2146"/>
      <c r="MQY12" s="2146"/>
      <c r="MRL12" s="103"/>
      <c r="MRN12" s="2146"/>
      <c r="MRO12" s="2146"/>
      <c r="MSB12" s="103"/>
      <c r="MSD12" s="2146"/>
      <c r="MSE12" s="2146"/>
      <c r="MSR12" s="103"/>
      <c r="MST12" s="2146"/>
      <c r="MSU12" s="2146"/>
      <c r="MTH12" s="103"/>
      <c r="MTJ12" s="2146"/>
      <c r="MTK12" s="2146"/>
      <c r="MTX12" s="103"/>
      <c r="MTZ12" s="2146"/>
      <c r="MUA12" s="2146"/>
      <c r="MUN12" s="103"/>
      <c r="MUP12" s="2146"/>
      <c r="MUQ12" s="2146"/>
      <c r="MVD12" s="103"/>
      <c r="MVF12" s="2146"/>
      <c r="MVG12" s="2146"/>
      <c r="MVT12" s="103"/>
      <c r="MVV12" s="2146"/>
      <c r="MVW12" s="2146"/>
      <c r="MWJ12" s="103"/>
      <c r="MWL12" s="2146"/>
      <c r="MWM12" s="2146"/>
      <c r="MWZ12" s="103"/>
      <c r="MXB12" s="2146"/>
      <c r="MXC12" s="2146"/>
      <c r="MXP12" s="103"/>
      <c r="MXR12" s="2146"/>
      <c r="MXS12" s="2146"/>
      <c r="MYF12" s="103"/>
      <c r="MYH12" s="2146"/>
      <c r="MYI12" s="2146"/>
      <c r="MYV12" s="103"/>
      <c r="MYX12" s="2146"/>
      <c r="MYY12" s="2146"/>
      <c r="MZL12" s="103"/>
      <c r="MZN12" s="2146"/>
      <c r="MZO12" s="2146"/>
      <c r="NAB12" s="103"/>
      <c r="NAD12" s="2146"/>
      <c r="NAE12" s="2146"/>
      <c r="NAR12" s="103"/>
      <c r="NAT12" s="2146"/>
      <c r="NAU12" s="2146"/>
      <c r="NBH12" s="103"/>
      <c r="NBJ12" s="2146"/>
      <c r="NBK12" s="2146"/>
      <c r="NBX12" s="103"/>
      <c r="NBZ12" s="2146"/>
      <c r="NCA12" s="2146"/>
      <c r="NCN12" s="103"/>
      <c r="NCP12" s="2146"/>
      <c r="NCQ12" s="2146"/>
      <c r="NDD12" s="103"/>
      <c r="NDF12" s="2146"/>
      <c r="NDG12" s="2146"/>
      <c r="NDT12" s="103"/>
      <c r="NDV12" s="2146"/>
      <c r="NDW12" s="2146"/>
      <c r="NEJ12" s="103"/>
      <c r="NEL12" s="2146"/>
      <c r="NEM12" s="2146"/>
      <c r="NEZ12" s="103"/>
      <c r="NFB12" s="2146"/>
      <c r="NFC12" s="2146"/>
      <c r="NFP12" s="103"/>
      <c r="NFR12" s="2146"/>
      <c r="NFS12" s="2146"/>
      <c r="NGF12" s="103"/>
      <c r="NGH12" s="2146"/>
      <c r="NGI12" s="2146"/>
      <c r="NGV12" s="103"/>
      <c r="NGX12" s="2146"/>
      <c r="NGY12" s="2146"/>
      <c r="NHL12" s="103"/>
      <c r="NHN12" s="2146"/>
      <c r="NHO12" s="2146"/>
      <c r="NIB12" s="103"/>
      <c r="NID12" s="2146"/>
      <c r="NIE12" s="2146"/>
      <c r="NIR12" s="103"/>
      <c r="NIT12" s="2146"/>
      <c r="NIU12" s="2146"/>
      <c r="NJH12" s="103"/>
      <c r="NJJ12" s="2146"/>
      <c r="NJK12" s="2146"/>
      <c r="NJX12" s="103"/>
      <c r="NJZ12" s="2146"/>
      <c r="NKA12" s="2146"/>
      <c r="NKN12" s="103"/>
      <c r="NKP12" s="2146"/>
      <c r="NKQ12" s="2146"/>
      <c r="NLD12" s="103"/>
      <c r="NLF12" s="2146"/>
      <c r="NLG12" s="2146"/>
      <c r="NLT12" s="103"/>
      <c r="NLV12" s="2146"/>
      <c r="NLW12" s="2146"/>
      <c r="NMJ12" s="103"/>
      <c r="NML12" s="2146"/>
      <c r="NMM12" s="2146"/>
      <c r="NMZ12" s="103"/>
      <c r="NNB12" s="2146"/>
      <c r="NNC12" s="2146"/>
      <c r="NNP12" s="103"/>
      <c r="NNR12" s="2146"/>
      <c r="NNS12" s="2146"/>
      <c r="NOF12" s="103"/>
      <c r="NOH12" s="2146"/>
      <c r="NOI12" s="2146"/>
      <c r="NOV12" s="103"/>
      <c r="NOX12" s="2146"/>
      <c r="NOY12" s="2146"/>
      <c r="NPL12" s="103"/>
      <c r="NPN12" s="2146"/>
      <c r="NPO12" s="2146"/>
      <c r="NQB12" s="103"/>
      <c r="NQD12" s="2146"/>
      <c r="NQE12" s="2146"/>
      <c r="NQR12" s="103"/>
      <c r="NQT12" s="2146"/>
      <c r="NQU12" s="2146"/>
      <c r="NRH12" s="103"/>
      <c r="NRJ12" s="2146"/>
      <c r="NRK12" s="2146"/>
      <c r="NRX12" s="103"/>
      <c r="NRZ12" s="2146"/>
      <c r="NSA12" s="2146"/>
      <c r="NSN12" s="103"/>
      <c r="NSP12" s="2146"/>
      <c r="NSQ12" s="2146"/>
      <c r="NTD12" s="103"/>
      <c r="NTF12" s="2146"/>
      <c r="NTG12" s="2146"/>
      <c r="NTT12" s="103"/>
      <c r="NTV12" s="2146"/>
      <c r="NTW12" s="2146"/>
      <c r="NUJ12" s="103"/>
      <c r="NUL12" s="2146"/>
      <c r="NUM12" s="2146"/>
      <c r="NUZ12" s="103"/>
      <c r="NVB12" s="2146"/>
      <c r="NVC12" s="2146"/>
      <c r="NVP12" s="103"/>
      <c r="NVR12" s="2146"/>
      <c r="NVS12" s="2146"/>
      <c r="NWF12" s="103"/>
      <c r="NWH12" s="2146"/>
      <c r="NWI12" s="2146"/>
      <c r="NWV12" s="103"/>
      <c r="NWX12" s="2146"/>
      <c r="NWY12" s="2146"/>
      <c r="NXL12" s="103"/>
      <c r="NXN12" s="2146"/>
      <c r="NXO12" s="2146"/>
      <c r="NYB12" s="103"/>
      <c r="NYD12" s="2146"/>
      <c r="NYE12" s="2146"/>
      <c r="NYR12" s="103"/>
      <c r="NYT12" s="2146"/>
      <c r="NYU12" s="2146"/>
      <c r="NZH12" s="103"/>
      <c r="NZJ12" s="2146"/>
      <c r="NZK12" s="2146"/>
      <c r="NZX12" s="103"/>
      <c r="NZZ12" s="2146"/>
      <c r="OAA12" s="2146"/>
      <c r="OAN12" s="103"/>
      <c r="OAP12" s="2146"/>
      <c r="OAQ12" s="2146"/>
      <c r="OBD12" s="103"/>
      <c r="OBF12" s="2146"/>
      <c r="OBG12" s="2146"/>
      <c r="OBT12" s="103"/>
      <c r="OBV12" s="2146"/>
      <c r="OBW12" s="2146"/>
      <c r="OCJ12" s="103"/>
      <c r="OCL12" s="2146"/>
      <c r="OCM12" s="2146"/>
      <c r="OCZ12" s="103"/>
      <c r="ODB12" s="2146"/>
      <c r="ODC12" s="2146"/>
      <c r="ODP12" s="103"/>
      <c r="ODR12" s="2146"/>
      <c r="ODS12" s="2146"/>
      <c r="OEF12" s="103"/>
      <c r="OEH12" s="2146"/>
      <c r="OEI12" s="2146"/>
      <c r="OEV12" s="103"/>
      <c r="OEX12" s="2146"/>
      <c r="OEY12" s="2146"/>
      <c r="OFL12" s="103"/>
      <c r="OFN12" s="2146"/>
      <c r="OFO12" s="2146"/>
      <c r="OGB12" s="103"/>
      <c r="OGD12" s="2146"/>
      <c r="OGE12" s="2146"/>
      <c r="OGR12" s="103"/>
      <c r="OGT12" s="2146"/>
      <c r="OGU12" s="2146"/>
      <c r="OHH12" s="103"/>
      <c r="OHJ12" s="2146"/>
      <c r="OHK12" s="2146"/>
      <c r="OHX12" s="103"/>
      <c r="OHZ12" s="2146"/>
      <c r="OIA12" s="2146"/>
      <c r="OIN12" s="103"/>
      <c r="OIP12" s="2146"/>
      <c r="OIQ12" s="2146"/>
      <c r="OJD12" s="103"/>
      <c r="OJF12" s="2146"/>
      <c r="OJG12" s="2146"/>
      <c r="OJT12" s="103"/>
      <c r="OJV12" s="2146"/>
      <c r="OJW12" s="2146"/>
      <c r="OKJ12" s="103"/>
      <c r="OKL12" s="2146"/>
      <c r="OKM12" s="2146"/>
      <c r="OKZ12" s="103"/>
      <c r="OLB12" s="2146"/>
      <c r="OLC12" s="2146"/>
      <c r="OLP12" s="103"/>
      <c r="OLR12" s="2146"/>
      <c r="OLS12" s="2146"/>
      <c r="OMF12" s="103"/>
      <c r="OMH12" s="2146"/>
      <c r="OMI12" s="2146"/>
      <c r="OMV12" s="103"/>
      <c r="OMX12" s="2146"/>
      <c r="OMY12" s="2146"/>
      <c r="ONL12" s="103"/>
      <c r="ONN12" s="2146"/>
      <c r="ONO12" s="2146"/>
      <c r="OOB12" s="103"/>
      <c r="OOD12" s="2146"/>
      <c r="OOE12" s="2146"/>
      <c r="OOR12" s="103"/>
      <c r="OOT12" s="2146"/>
      <c r="OOU12" s="2146"/>
      <c r="OPH12" s="103"/>
      <c r="OPJ12" s="2146"/>
      <c r="OPK12" s="2146"/>
      <c r="OPX12" s="103"/>
      <c r="OPZ12" s="2146"/>
      <c r="OQA12" s="2146"/>
      <c r="OQN12" s="103"/>
      <c r="OQP12" s="2146"/>
      <c r="OQQ12" s="2146"/>
      <c r="ORD12" s="103"/>
      <c r="ORF12" s="2146"/>
      <c r="ORG12" s="2146"/>
      <c r="ORT12" s="103"/>
      <c r="ORV12" s="2146"/>
      <c r="ORW12" s="2146"/>
      <c r="OSJ12" s="103"/>
      <c r="OSL12" s="2146"/>
      <c r="OSM12" s="2146"/>
      <c r="OSZ12" s="103"/>
      <c r="OTB12" s="2146"/>
      <c r="OTC12" s="2146"/>
      <c r="OTP12" s="103"/>
      <c r="OTR12" s="2146"/>
      <c r="OTS12" s="2146"/>
      <c r="OUF12" s="103"/>
      <c r="OUH12" s="2146"/>
      <c r="OUI12" s="2146"/>
      <c r="OUV12" s="103"/>
      <c r="OUX12" s="2146"/>
      <c r="OUY12" s="2146"/>
      <c r="OVL12" s="103"/>
      <c r="OVN12" s="2146"/>
      <c r="OVO12" s="2146"/>
      <c r="OWB12" s="103"/>
      <c r="OWD12" s="2146"/>
      <c r="OWE12" s="2146"/>
      <c r="OWR12" s="103"/>
      <c r="OWT12" s="2146"/>
      <c r="OWU12" s="2146"/>
      <c r="OXH12" s="103"/>
      <c r="OXJ12" s="2146"/>
      <c r="OXK12" s="2146"/>
      <c r="OXX12" s="103"/>
      <c r="OXZ12" s="2146"/>
      <c r="OYA12" s="2146"/>
      <c r="OYN12" s="103"/>
      <c r="OYP12" s="2146"/>
      <c r="OYQ12" s="2146"/>
      <c r="OZD12" s="103"/>
      <c r="OZF12" s="2146"/>
      <c r="OZG12" s="2146"/>
      <c r="OZT12" s="103"/>
      <c r="OZV12" s="2146"/>
      <c r="OZW12" s="2146"/>
      <c r="PAJ12" s="103"/>
      <c r="PAL12" s="2146"/>
      <c r="PAM12" s="2146"/>
      <c r="PAZ12" s="103"/>
      <c r="PBB12" s="2146"/>
      <c r="PBC12" s="2146"/>
      <c r="PBP12" s="103"/>
      <c r="PBR12" s="2146"/>
      <c r="PBS12" s="2146"/>
      <c r="PCF12" s="103"/>
      <c r="PCH12" s="2146"/>
      <c r="PCI12" s="2146"/>
      <c r="PCV12" s="103"/>
      <c r="PCX12" s="2146"/>
      <c r="PCY12" s="2146"/>
      <c r="PDL12" s="103"/>
      <c r="PDN12" s="2146"/>
      <c r="PDO12" s="2146"/>
      <c r="PEB12" s="103"/>
      <c r="PED12" s="2146"/>
      <c r="PEE12" s="2146"/>
      <c r="PER12" s="103"/>
      <c r="PET12" s="2146"/>
      <c r="PEU12" s="2146"/>
      <c r="PFH12" s="103"/>
      <c r="PFJ12" s="2146"/>
      <c r="PFK12" s="2146"/>
      <c r="PFX12" s="103"/>
      <c r="PFZ12" s="2146"/>
      <c r="PGA12" s="2146"/>
      <c r="PGN12" s="103"/>
      <c r="PGP12" s="2146"/>
      <c r="PGQ12" s="2146"/>
      <c r="PHD12" s="103"/>
      <c r="PHF12" s="2146"/>
      <c r="PHG12" s="2146"/>
      <c r="PHT12" s="103"/>
      <c r="PHV12" s="2146"/>
      <c r="PHW12" s="2146"/>
      <c r="PIJ12" s="103"/>
      <c r="PIL12" s="2146"/>
      <c r="PIM12" s="2146"/>
      <c r="PIZ12" s="103"/>
      <c r="PJB12" s="2146"/>
      <c r="PJC12" s="2146"/>
      <c r="PJP12" s="103"/>
      <c r="PJR12" s="2146"/>
      <c r="PJS12" s="2146"/>
      <c r="PKF12" s="103"/>
      <c r="PKH12" s="2146"/>
      <c r="PKI12" s="2146"/>
      <c r="PKV12" s="103"/>
      <c r="PKX12" s="2146"/>
      <c r="PKY12" s="2146"/>
      <c r="PLL12" s="103"/>
      <c r="PLN12" s="2146"/>
      <c r="PLO12" s="2146"/>
      <c r="PMB12" s="103"/>
      <c r="PMD12" s="2146"/>
      <c r="PME12" s="2146"/>
      <c r="PMR12" s="103"/>
      <c r="PMT12" s="2146"/>
      <c r="PMU12" s="2146"/>
      <c r="PNH12" s="103"/>
      <c r="PNJ12" s="2146"/>
      <c r="PNK12" s="2146"/>
      <c r="PNX12" s="103"/>
      <c r="PNZ12" s="2146"/>
      <c r="POA12" s="2146"/>
      <c r="PON12" s="103"/>
      <c r="POP12" s="2146"/>
      <c r="POQ12" s="2146"/>
      <c r="PPD12" s="103"/>
      <c r="PPF12" s="2146"/>
      <c r="PPG12" s="2146"/>
      <c r="PPT12" s="103"/>
      <c r="PPV12" s="2146"/>
      <c r="PPW12" s="2146"/>
      <c r="PQJ12" s="103"/>
      <c r="PQL12" s="2146"/>
      <c r="PQM12" s="2146"/>
      <c r="PQZ12" s="103"/>
      <c r="PRB12" s="2146"/>
      <c r="PRC12" s="2146"/>
      <c r="PRP12" s="103"/>
      <c r="PRR12" s="2146"/>
      <c r="PRS12" s="2146"/>
      <c r="PSF12" s="103"/>
      <c r="PSH12" s="2146"/>
      <c r="PSI12" s="2146"/>
      <c r="PSV12" s="103"/>
      <c r="PSX12" s="2146"/>
      <c r="PSY12" s="2146"/>
      <c r="PTL12" s="103"/>
      <c r="PTN12" s="2146"/>
      <c r="PTO12" s="2146"/>
      <c r="PUB12" s="103"/>
      <c r="PUD12" s="2146"/>
      <c r="PUE12" s="2146"/>
      <c r="PUR12" s="103"/>
      <c r="PUT12" s="2146"/>
      <c r="PUU12" s="2146"/>
      <c r="PVH12" s="103"/>
      <c r="PVJ12" s="2146"/>
      <c r="PVK12" s="2146"/>
      <c r="PVX12" s="103"/>
      <c r="PVZ12" s="2146"/>
      <c r="PWA12" s="2146"/>
      <c r="PWN12" s="103"/>
      <c r="PWP12" s="2146"/>
      <c r="PWQ12" s="2146"/>
      <c r="PXD12" s="103"/>
      <c r="PXF12" s="2146"/>
      <c r="PXG12" s="2146"/>
      <c r="PXT12" s="103"/>
      <c r="PXV12" s="2146"/>
      <c r="PXW12" s="2146"/>
      <c r="PYJ12" s="103"/>
      <c r="PYL12" s="2146"/>
      <c r="PYM12" s="2146"/>
      <c r="PYZ12" s="103"/>
      <c r="PZB12" s="2146"/>
      <c r="PZC12" s="2146"/>
      <c r="PZP12" s="103"/>
      <c r="PZR12" s="2146"/>
      <c r="PZS12" s="2146"/>
      <c r="QAF12" s="103"/>
      <c r="QAH12" s="2146"/>
      <c r="QAI12" s="2146"/>
      <c r="QAV12" s="103"/>
      <c r="QAX12" s="2146"/>
      <c r="QAY12" s="2146"/>
      <c r="QBL12" s="103"/>
      <c r="QBN12" s="2146"/>
      <c r="QBO12" s="2146"/>
      <c r="QCB12" s="103"/>
      <c r="QCD12" s="2146"/>
      <c r="QCE12" s="2146"/>
      <c r="QCR12" s="103"/>
      <c r="QCT12" s="2146"/>
      <c r="QCU12" s="2146"/>
      <c r="QDH12" s="103"/>
      <c r="QDJ12" s="2146"/>
      <c r="QDK12" s="2146"/>
      <c r="QDX12" s="103"/>
      <c r="QDZ12" s="2146"/>
      <c r="QEA12" s="2146"/>
      <c r="QEN12" s="103"/>
      <c r="QEP12" s="2146"/>
      <c r="QEQ12" s="2146"/>
      <c r="QFD12" s="103"/>
      <c r="QFF12" s="2146"/>
      <c r="QFG12" s="2146"/>
      <c r="QFT12" s="103"/>
      <c r="QFV12" s="2146"/>
      <c r="QFW12" s="2146"/>
      <c r="QGJ12" s="103"/>
      <c r="QGL12" s="2146"/>
      <c r="QGM12" s="2146"/>
      <c r="QGZ12" s="103"/>
      <c r="QHB12" s="2146"/>
      <c r="QHC12" s="2146"/>
      <c r="QHP12" s="103"/>
      <c r="QHR12" s="2146"/>
      <c r="QHS12" s="2146"/>
      <c r="QIF12" s="103"/>
      <c r="QIH12" s="2146"/>
      <c r="QII12" s="2146"/>
      <c r="QIV12" s="103"/>
      <c r="QIX12" s="2146"/>
      <c r="QIY12" s="2146"/>
      <c r="QJL12" s="103"/>
      <c r="QJN12" s="2146"/>
      <c r="QJO12" s="2146"/>
      <c r="QKB12" s="103"/>
      <c r="QKD12" s="2146"/>
      <c r="QKE12" s="2146"/>
      <c r="QKR12" s="103"/>
      <c r="QKT12" s="2146"/>
      <c r="QKU12" s="2146"/>
      <c r="QLH12" s="103"/>
      <c r="QLJ12" s="2146"/>
      <c r="QLK12" s="2146"/>
      <c r="QLX12" s="103"/>
      <c r="QLZ12" s="2146"/>
      <c r="QMA12" s="2146"/>
      <c r="QMN12" s="103"/>
      <c r="QMP12" s="2146"/>
      <c r="QMQ12" s="2146"/>
      <c r="QND12" s="103"/>
      <c r="QNF12" s="2146"/>
      <c r="QNG12" s="2146"/>
      <c r="QNT12" s="103"/>
      <c r="QNV12" s="2146"/>
      <c r="QNW12" s="2146"/>
      <c r="QOJ12" s="103"/>
      <c r="QOL12" s="2146"/>
      <c r="QOM12" s="2146"/>
      <c r="QOZ12" s="103"/>
      <c r="QPB12" s="2146"/>
      <c r="QPC12" s="2146"/>
      <c r="QPP12" s="103"/>
      <c r="QPR12" s="2146"/>
      <c r="QPS12" s="2146"/>
      <c r="QQF12" s="103"/>
      <c r="QQH12" s="2146"/>
      <c r="QQI12" s="2146"/>
      <c r="QQV12" s="103"/>
      <c r="QQX12" s="2146"/>
      <c r="QQY12" s="2146"/>
      <c r="QRL12" s="103"/>
      <c r="QRN12" s="2146"/>
      <c r="QRO12" s="2146"/>
      <c r="QSB12" s="103"/>
      <c r="QSD12" s="2146"/>
      <c r="QSE12" s="2146"/>
      <c r="QSR12" s="103"/>
      <c r="QST12" s="2146"/>
      <c r="QSU12" s="2146"/>
      <c r="QTH12" s="103"/>
      <c r="QTJ12" s="2146"/>
      <c r="QTK12" s="2146"/>
      <c r="QTX12" s="103"/>
      <c r="QTZ12" s="2146"/>
      <c r="QUA12" s="2146"/>
      <c r="QUN12" s="103"/>
      <c r="QUP12" s="2146"/>
      <c r="QUQ12" s="2146"/>
      <c r="QVD12" s="103"/>
      <c r="QVF12" s="2146"/>
      <c r="QVG12" s="2146"/>
      <c r="QVT12" s="103"/>
      <c r="QVV12" s="2146"/>
      <c r="QVW12" s="2146"/>
      <c r="QWJ12" s="103"/>
      <c r="QWL12" s="2146"/>
      <c r="QWM12" s="2146"/>
      <c r="QWZ12" s="103"/>
      <c r="QXB12" s="2146"/>
      <c r="QXC12" s="2146"/>
      <c r="QXP12" s="103"/>
      <c r="QXR12" s="2146"/>
      <c r="QXS12" s="2146"/>
      <c r="QYF12" s="103"/>
      <c r="QYH12" s="2146"/>
      <c r="QYI12" s="2146"/>
      <c r="QYV12" s="103"/>
      <c r="QYX12" s="2146"/>
      <c r="QYY12" s="2146"/>
      <c r="QZL12" s="103"/>
      <c r="QZN12" s="2146"/>
      <c r="QZO12" s="2146"/>
      <c r="RAB12" s="103"/>
      <c r="RAD12" s="2146"/>
      <c r="RAE12" s="2146"/>
      <c r="RAR12" s="103"/>
      <c r="RAT12" s="2146"/>
      <c r="RAU12" s="2146"/>
      <c r="RBH12" s="103"/>
      <c r="RBJ12" s="2146"/>
      <c r="RBK12" s="2146"/>
      <c r="RBX12" s="103"/>
      <c r="RBZ12" s="2146"/>
      <c r="RCA12" s="2146"/>
      <c r="RCN12" s="103"/>
      <c r="RCP12" s="2146"/>
      <c r="RCQ12" s="2146"/>
      <c r="RDD12" s="103"/>
      <c r="RDF12" s="2146"/>
      <c r="RDG12" s="2146"/>
      <c r="RDT12" s="103"/>
      <c r="RDV12" s="2146"/>
      <c r="RDW12" s="2146"/>
      <c r="REJ12" s="103"/>
      <c r="REL12" s="2146"/>
      <c r="REM12" s="2146"/>
      <c r="REZ12" s="103"/>
      <c r="RFB12" s="2146"/>
      <c r="RFC12" s="2146"/>
      <c r="RFP12" s="103"/>
      <c r="RFR12" s="2146"/>
      <c r="RFS12" s="2146"/>
      <c r="RGF12" s="103"/>
      <c r="RGH12" s="2146"/>
      <c r="RGI12" s="2146"/>
      <c r="RGV12" s="103"/>
      <c r="RGX12" s="2146"/>
      <c r="RGY12" s="2146"/>
      <c r="RHL12" s="103"/>
      <c r="RHN12" s="2146"/>
      <c r="RHO12" s="2146"/>
      <c r="RIB12" s="103"/>
      <c r="RID12" s="2146"/>
      <c r="RIE12" s="2146"/>
      <c r="RIR12" s="103"/>
      <c r="RIT12" s="2146"/>
      <c r="RIU12" s="2146"/>
      <c r="RJH12" s="103"/>
      <c r="RJJ12" s="2146"/>
      <c r="RJK12" s="2146"/>
      <c r="RJX12" s="103"/>
      <c r="RJZ12" s="2146"/>
      <c r="RKA12" s="2146"/>
      <c r="RKN12" s="103"/>
      <c r="RKP12" s="2146"/>
      <c r="RKQ12" s="2146"/>
      <c r="RLD12" s="103"/>
      <c r="RLF12" s="2146"/>
      <c r="RLG12" s="2146"/>
      <c r="RLT12" s="103"/>
      <c r="RLV12" s="2146"/>
      <c r="RLW12" s="2146"/>
      <c r="RMJ12" s="103"/>
      <c r="RML12" s="2146"/>
      <c r="RMM12" s="2146"/>
      <c r="RMZ12" s="103"/>
      <c r="RNB12" s="2146"/>
      <c r="RNC12" s="2146"/>
      <c r="RNP12" s="103"/>
      <c r="RNR12" s="2146"/>
      <c r="RNS12" s="2146"/>
      <c r="ROF12" s="103"/>
      <c r="ROH12" s="2146"/>
      <c r="ROI12" s="2146"/>
      <c r="ROV12" s="103"/>
      <c r="ROX12" s="2146"/>
      <c r="ROY12" s="2146"/>
      <c r="RPL12" s="103"/>
      <c r="RPN12" s="2146"/>
      <c r="RPO12" s="2146"/>
      <c r="RQB12" s="103"/>
      <c r="RQD12" s="2146"/>
      <c r="RQE12" s="2146"/>
      <c r="RQR12" s="103"/>
      <c r="RQT12" s="2146"/>
      <c r="RQU12" s="2146"/>
      <c r="RRH12" s="103"/>
      <c r="RRJ12" s="2146"/>
      <c r="RRK12" s="2146"/>
      <c r="RRX12" s="103"/>
      <c r="RRZ12" s="2146"/>
      <c r="RSA12" s="2146"/>
      <c r="RSN12" s="103"/>
      <c r="RSP12" s="2146"/>
      <c r="RSQ12" s="2146"/>
      <c r="RTD12" s="103"/>
      <c r="RTF12" s="2146"/>
      <c r="RTG12" s="2146"/>
      <c r="RTT12" s="103"/>
      <c r="RTV12" s="2146"/>
      <c r="RTW12" s="2146"/>
      <c r="RUJ12" s="103"/>
      <c r="RUL12" s="2146"/>
      <c r="RUM12" s="2146"/>
      <c r="RUZ12" s="103"/>
      <c r="RVB12" s="2146"/>
      <c r="RVC12" s="2146"/>
      <c r="RVP12" s="103"/>
      <c r="RVR12" s="2146"/>
      <c r="RVS12" s="2146"/>
      <c r="RWF12" s="103"/>
      <c r="RWH12" s="2146"/>
      <c r="RWI12" s="2146"/>
      <c r="RWV12" s="103"/>
      <c r="RWX12" s="2146"/>
      <c r="RWY12" s="2146"/>
      <c r="RXL12" s="103"/>
      <c r="RXN12" s="2146"/>
      <c r="RXO12" s="2146"/>
      <c r="RYB12" s="103"/>
      <c r="RYD12" s="2146"/>
      <c r="RYE12" s="2146"/>
      <c r="RYR12" s="103"/>
      <c r="RYT12" s="2146"/>
      <c r="RYU12" s="2146"/>
      <c r="RZH12" s="103"/>
      <c r="RZJ12" s="2146"/>
      <c r="RZK12" s="2146"/>
      <c r="RZX12" s="103"/>
      <c r="RZZ12" s="2146"/>
      <c r="SAA12" s="2146"/>
      <c r="SAN12" s="103"/>
      <c r="SAP12" s="2146"/>
      <c r="SAQ12" s="2146"/>
      <c r="SBD12" s="103"/>
      <c r="SBF12" s="2146"/>
      <c r="SBG12" s="2146"/>
      <c r="SBT12" s="103"/>
      <c r="SBV12" s="2146"/>
      <c r="SBW12" s="2146"/>
      <c r="SCJ12" s="103"/>
      <c r="SCL12" s="2146"/>
      <c r="SCM12" s="2146"/>
      <c r="SCZ12" s="103"/>
      <c r="SDB12" s="2146"/>
      <c r="SDC12" s="2146"/>
      <c r="SDP12" s="103"/>
      <c r="SDR12" s="2146"/>
      <c r="SDS12" s="2146"/>
      <c r="SEF12" s="103"/>
      <c r="SEH12" s="2146"/>
      <c r="SEI12" s="2146"/>
      <c r="SEV12" s="103"/>
      <c r="SEX12" s="2146"/>
      <c r="SEY12" s="2146"/>
      <c r="SFL12" s="103"/>
      <c r="SFN12" s="2146"/>
      <c r="SFO12" s="2146"/>
      <c r="SGB12" s="103"/>
      <c r="SGD12" s="2146"/>
      <c r="SGE12" s="2146"/>
      <c r="SGR12" s="103"/>
      <c r="SGT12" s="2146"/>
      <c r="SGU12" s="2146"/>
      <c r="SHH12" s="103"/>
      <c r="SHJ12" s="2146"/>
      <c r="SHK12" s="2146"/>
      <c r="SHX12" s="103"/>
      <c r="SHZ12" s="2146"/>
      <c r="SIA12" s="2146"/>
      <c r="SIN12" s="103"/>
      <c r="SIP12" s="2146"/>
      <c r="SIQ12" s="2146"/>
      <c r="SJD12" s="103"/>
      <c r="SJF12" s="2146"/>
      <c r="SJG12" s="2146"/>
      <c r="SJT12" s="103"/>
      <c r="SJV12" s="2146"/>
      <c r="SJW12" s="2146"/>
      <c r="SKJ12" s="103"/>
      <c r="SKL12" s="2146"/>
      <c r="SKM12" s="2146"/>
      <c r="SKZ12" s="103"/>
      <c r="SLB12" s="2146"/>
      <c r="SLC12" s="2146"/>
      <c r="SLP12" s="103"/>
      <c r="SLR12" s="2146"/>
      <c r="SLS12" s="2146"/>
      <c r="SMF12" s="103"/>
      <c r="SMH12" s="2146"/>
      <c r="SMI12" s="2146"/>
      <c r="SMV12" s="103"/>
      <c r="SMX12" s="2146"/>
      <c r="SMY12" s="2146"/>
      <c r="SNL12" s="103"/>
      <c r="SNN12" s="2146"/>
      <c r="SNO12" s="2146"/>
      <c r="SOB12" s="103"/>
      <c r="SOD12" s="2146"/>
      <c r="SOE12" s="2146"/>
      <c r="SOR12" s="103"/>
      <c r="SOT12" s="2146"/>
      <c r="SOU12" s="2146"/>
      <c r="SPH12" s="103"/>
      <c r="SPJ12" s="2146"/>
      <c r="SPK12" s="2146"/>
      <c r="SPX12" s="103"/>
      <c r="SPZ12" s="2146"/>
      <c r="SQA12" s="2146"/>
      <c r="SQN12" s="103"/>
      <c r="SQP12" s="2146"/>
      <c r="SQQ12" s="2146"/>
      <c r="SRD12" s="103"/>
      <c r="SRF12" s="2146"/>
      <c r="SRG12" s="2146"/>
      <c r="SRT12" s="103"/>
      <c r="SRV12" s="2146"/>
      <c r="SRW12" s="2146"/>
      <c r="SSJ12" s="103"/>
      <c r="SSL12" s="2146"/>
      <c r="SSM12" s="2146"/>
      <c r="SSZ12" s="103"/>
      <c r="STB12" s="2146"/>
      <c r="STC12" s="2146"/>
      <c r="STP12" s="103"/>
      <c r="STR12" s="2146"/>
      <c r="STS12" s="2146"/>
      <c r="SUF12" s="103"/>
      <c r="SUH12" s="2146"/>
      <c r="SUI12" s="2146"/>
      <c r="SUV12" s="103"/>
      <c r="SUX12" s="2146"/>
      <c r="SUY12" s="2146"/>
      <c r="SVL12" s="103"/>
      <c r="SVN12" s="2146"/>
      <c r="SVO12" s="2146"/>
      <c r="SWB12" s="103"/>
      <c r="SWD12" s="2146"/>
      <c r="SWE12" s="2146"/>
      <c r="SWR12" s="103"/>
      <c r="SWT12" s="2146"/>
      <c r="SWU12" s="2146"/>
      <c r="SXH12" s="103"/>
      <c r="SXJ12" s="2146"/>
      <c r="SXK12" s="2146"/>
      <c r="SXX12" s="103"/>
      <c r="SXZ12" s="2146"/>
      <c r="SYA12" s="2146"/>
      <c r="SYN12" s="103"/>
      <c r="SYP12" s="2146"/>
      <c r="SYQ12" s="2146"/>
      <c r="SZD12" s="103"/>
      <c r="SZF12" s="2146"/>
      <c r="SZG12" s="2146"/>
      <c r="SZT12" s="103"/>
      <c r="SZV12" s="2146"/>
      <c r="SZW12" s="2146"/>
      <c r="TAJ12" s="103"/>
      <c r="TAL12" s="2146"/>
      <c r="TAM12" s="2146"/>
      <c r="TAZ12" s="103"/>
      <c r="TBB12" s="2146"/>
      <c r="TBC12" s="2146"/>
      <c r="TBP12" s="103"/>
      <c r="TBR12" s="2146"/>
      <c r="TBS12" s="2146"/>
      <c r="TCF12" s="103"/>
      <c r="TCH12" s="2146"/>
      <c r="TCI12" s="2146"/>
      <c r="TCV12" s="103"/>
      <c r="TCX12" s="2146"/>
      <c r="TCY12" s="2146"/>
      <c r="TDL12" s="103"/>
      <c r="TDN12" s="2146"/>
      <c r="TDO12" s="2146"/>
      <c r="TEB12" s="103"/>
      <c r="TED12" s="2146"/>
      <c r="TEE12" s="2146"/>
      <c r="TER12" s="103"/>
      <c r="TET12" s="2146"/>
      <c r="TEU12" s="2146"/>
      <c r="TFH12" s="103"/>
      <c r="TFJ12" s="2146"/>
      <c r="TFK12" s="2146"/>
      <c r="TFX12" s="103"/>
      <c r="TFZ12" s="2146"/>
      <c r="TGA12" s="2146"/>
      <c r="TGN12" s="103"/>
      <c r="TGP12" s="2146"/>
      <c r="TGQ12" s="2146"/>
      <c r="THD12" s="103"/>
      <c r="THF12" s="2146"/>
      <c r="THG12" s="2146"/>
      <c r="THT12" s="103"/>
      <c r="THV12" s="2146"/>
      <c r="THW12" s="2146"/>
      <c r="TIJ12" s="103"/>
      <c r="TIL12" s="2146"/>
      <c r="TIM12" s="2146"/>
      <c r="TIZ12" s="103"/>
      <c r="TJB12" s="2146"/>
      <c r="TJC12" s="2146"/>
      <c r="TJP12" s="103"/>
      <c r="TJR12" s="2146"/>
      <c r="TJS12" s="2146"/>
      <c r="TKF12" s="103"/>
      <c r="TKH12" s="2146"/>
      <c r="TKI12" s="2146"/>
      <c r="TKV12" s="103"/>
      <c r="TKX12" s="2146"/>
      <c r="TKY12" s="2146"/>
      <c r="TLL12" s="103"/>
      <c r="TLN12" s="2146"/>
      <c r="TLO12" s="2146"/>
      <c r="TMB12" s="103"/>
      <c r="TMD12" s="2146"/>
      <c r="TME12" s="2146"/>
      <c r="TMR12" s="103"/>
      <c r="TMT12" s="2146"/>
      <c r="TMU12" s="2146"/>
      <c r="TNH12" s="103"/>
      <c r="TNJ12" s="2146"/>
      <c r="TNK12" s="2146"/>
      <c r="TNX12" s="103"/>
      <c r="TNZ12" s="2146"/>
      <c r="TOA12" s="2146"/>
      <c r="TON12" s="103"/>
      <c r="TOP12" s="2146"/>
      <c r="TOQ12" s="2146"/>
      <c r="TPD12" s="103"/>
      <c r="TPF12" s="2146"/>
      <c r="TPG12" s="2146"/>
      <c r="TPT12" s="103"/>
      <c r="TPV12" s="2146"/>
      <c r="TPW12" s="2146"/>
      <c r="TQJ12" s="103"/>
      <c r="TQL12" s="2146"/>
      <c r="TQM12" s="2146"/>
      <c r="TQZ12" s="103"/>
      <c r="TRB12" s="2146"/>
      <c r="TRC12" s="2146"/>
      <c r="TRP12" s="103"/>
      <c r="TRR12" s="2146"/>
      <c r="TRS12" s="2146"/>
      <c r="TSF12" s="103"/>
      <c r="TSH12" s="2146"/>
      <c r="TSI12" s="2146"/>
      <c r="TSV12" s="103"/>
      <c r="TSX12" s="2146"/>
      <c r="TSY12" s="2146"/>
      <c r="TTL12" s="103"/>
      <c r="TTN12" s="2146"/>
      <c r="TTO12" s="2146"/>
      <c r="TUB12" s="103"/>
      <c r="TUD12" s="2146"/>
      <c r="TUE12" s="2146"/>
      <c r="TUR12" s="103"/>
      <c r="TUT12" s="2146"/>
      <c r="TUU12" s="2146"/>
      <c r="TVH12" s="103"/>
      <c r="TVJ12" s="2146"/>
      <c r="TVK12" s="2146"/>
      <c r="TVX12" s="103"/>
      <c r="TVZ12" s="2146"/>
      <c r="TWA12" s="2146"/>
      <c r="TWN12" s="103"/>
      <c r="TWP12" s="2146"/>
      <c r="TWQ12" s="2146"/>
      <c r="TXD12" s="103"/>
      <c r="TXF12" s="2146"/>
      <c r="TXG12" s="2146"/>
      <c r="TXT12" s="103"/>
      <c r="TXV12" s="2146"/>
      <c r="TXW12" s="2146"/>
      <c r="TYJ12" s="103"/>
      <c r="TYL12" s="2146"/>
      <c r="TYM12" s="2146"/>
      <c r="TYZ12" s="103"/>
      <c r="TZB12" s="2146"/>
      <c r="TZC12" s="2146"/>
      <c r="TZP12" s="103"/>
      <c r="TZR12" s="2146"/>
      <c r="TZS12" s="2146"/>
      <c r="UAF12" s="103"/>
      <c r="UAH12" s="2146"/>
      <c r="UAI12" s="2146"/>
      <c r="UAV12" s="103"/>
      <c r="UAX12" s="2146"/>
      <c r="UAY12" s="2146"/>
      <c r="UBL12" s="103"/>
      <c r="UBN12" s="2146"/>
      <c r="UBO12" s="2146"/>
      <c r="UCB12" s="103"/>
      <c r="UCD12" s="2146"/>
      <c r="UCE12" s="2146"/>
      <c r="UCR12" s="103"/>
      <c r="UCT12" s="2146"/>
      <c r="UCU12" s="2146"/>
      <c r="UDH12" s="103"/>
      <c r="UDJ12" s="2146"/>
      <c r="UDK12" s="2146"/>
      <c r="UDX12" s="103"/>
      <c r="UDZ12" s="2146"/>
      <c r="UEA12" s="2146"/>
      <c r="UEN12" s="103"/>
      <c r="UEP12" s="2146"/>
      <c r="UEQ12" s="2146"/>
      <c r="UFD12" s="103"/>
      <c r="UFF12" s="2146"/>
      <c r="UFG12" s="2146"/>
      <c r="UFT12" s="103"/>
      <c r="UFV12" s="2146"/>
      <c r="UFW12" s="2146"/>
      <c r="UGJ12" s="103"/>
      <c r="UGL12" s="2146"/>
      <c r="UGM12" s="2146"/>
      <c r="UGZ12" s="103"/>
      <c r="UHB12" s="2146"/>
      <c r="UHC12" s="2146"/>
      <c r="UHP12" s="103"/>
      <c r="UHR12" s="2146"/>
      <c r="UHS12" s="2146"/>
      <c r="UIF12" s="103"/>
      <c r="UIH12" s="2146"/>
      <c r="UII12" s="2146"/>
      <c r="UIV12" s="103"/>
      <c r="UIX12" s="2146"/>
      <c r="UIY12" s="2146"/>
      <c r="UJL12" s="103"/>
      <c r="UJN12" s="2146"/>
      <c r="UJO12" s="2146"/>
      <c r="UKB12" s="103"/>
      <c r="UKD12" s="2146"/>
      <c r="UKE12" s="2146"/>
      <c r="UKR12" s="103"/>
      <c r="UKT12" s="2146"/>
      <c r="UKU12" s="2146"/>
      <c r="ULH12" s="103"/>
      <c r="ULJ12" s="2146"/>
      <c r="ULK12" s="2146"/>
      <c r="ULX12" s="103"/>
      <c r="ULZ12" s="2146"/>
      <c r="UMA12" s="2146"/>
      <c r="UMN12" s="103"/>
      <c r="UMP12" s="2146"/>
      <c r="UMQ12" s="2146"/>
      <c r="UND12" s="103"/>
      <c r="UNF12" s="2146"/>
      <c r="UNG12" s="2146"/>
      <c r="UNT12" s="103"/>
      <c r="UNV12" s="2146"/>
      <c r="UNW12" s="2146"/>
      <c r="UOJ12" s="103"/>
      <c r="UOL12" s="2146"/>
      <c r="UOM12" s="2146"/>
      <c r="UOZ12" s="103"/>
      <c r="UPB12" s="2146"/>
      <c r="UPC12" s="2146"/>
      <c r="UPP12" s="103"/>
      <c r="UPR12" s="2146"/>
      <c r="UPS12" s="2146"/>
      <c r="UQF12" s="103"/>
      <c r="UQH12" s="2146"/>
      <c r="UQI12" s="2146"/>
      <c r="UQV12" s="103"/>
      <c r="UQX12" s="2146"/>
      <c r="UQY12" s="2146"/>
      <c r="URL12" s="103"/>
      <c r="URN12" s="2146"/>
      <c r="URO12" s="2146"/>
      <c r="USB12" s="103"/>
      <c r="USD12" s="2146"/>
      <c r="USE12" s="2146"/>
      <c r="USR12" s="103"/>
      <c r="UST12" s="2146"/>
      <c r="USU12" s="2146"/>
      <c r="UTH12" s="103"/>
      <c r="UTJ12" s="2146"/>
      <c r="UTK12" s="2146"/>
      <c r="UTX12" s="103"/>
      <c r="UTZ12" s="2146"/>
      <c r="UUA12" s="2146"/>
      <c r="UUN12" s="103"/>
      <c r="UUP12" s="2146"/>
      <c r="UUQ12" s="2146"/>
      <c r="UVD12" s="103"/>
      <c r="UVF12" s="2146"/>
      <c r="UVG12" s="2146"/>
      <c r="UVT12" s="103"/>
      <c r="UVV12" s="2146"/>
      <c r="UVW12" s="2146"/>
      <c r="UWJ12" s="103"/>
      <c r="UWL12" s="2146"/>
      <c r="UWM12" s="2146"/>
      <c r="UWZ12" s="103"/>
      <c r="UXB12" s="2146"/>
      <c r="UXC12" s="2146"/>
      <c r="UXP12" s="103"/>
      <c r="UXR12" s="2146"/>
      <c r="UXS12" s="2146"/>
      <c r="UYF12" s="103"/>
      <c r="UYH12" s="2146"/>
      <c r="UYI12" s="2146"/>
      <c r="UYV12" s="103"/>
      <c r="UYX12" s="2146"/>
      <c r="UYY12" s="2146"/>
      <c r="UZL12" s="103"/>
      <c r="UZN12" s="2146"/>
      <c r="UZO12" s="2146"/>
      <c r="VAB12" s="103"/>
      <c r="VAD12" s="2146"/>
      <c r="VAE12" s="2146"/>
      <c r="VAR12" s="103"/>
      <c r="VAT12" s="2146"/>
      <c r="VAU12" s="2146"/>
      <c r="VBH12" s="103"/>
      <c r="VBJ12" s="2146"/>
      <c r="VBK12" s="2146"/>
      <c r="VBX12" s="103"/>
      <c r="VBZ12" s="2146"/>
      <c r="VCA12" s="2146"/>
      <c r="VCN12" s="103"/>
      <c r="VCP12" s="2146"/>
      <c r="VCQ12" s="2146"/>
      <c r="VDD12" s="103"/>
      <c r="VDF12" s="2146"/>
      <c r="VDG12" s="2146"/>
      <c r="VDT12" s="103"/>
      <c r="VDV12" s="2146"/>
      <c r="VDW12" s="2146"/>
      <c r="VEJ12" s="103"/>
      <c r="VEL12" s="2146"/>
      <c r="VEM12" s="2146"/>
      <c r="VEZ12" s="103"/>
      <c r="VFB12" s="2146"/>
      <c r="VFC12" s="2146"/>
      <c r="VFP12" s="103"/>
      <c r="VFR12" s="2146"/>
      <c r="VFS12" s="2146"/>
      <c r="VGF12" s="103"/>
      <c r="VGH12" s="2146"/>
      <c r="VGI12" s="2146"/>
      <c r="VGV12" s="103"/>
      <c r="VGX12" s="2146"/>
      <c r="VGY12" s="2146"/>
      <c r="VHL12" s="103"/>
      <c r="VHN12" s="2146"/>
      <c r="VHO12" s="2146"/>
      <c r="VIB12" s="103"/>
      <c r="VID12" s="2146"/>
      <c r="VIE12" s="2146"/>
      <c r="VIR12" s="103"/>
      <c r="VIT12" s="2146"/>
      <c r="VIU12" s="2146"/>
      <c r="VJH12" s="103"/>
      <c r="VJJ12" s="2146"/>
      <c r="VJK12" s="2146"/>
      <c r="VJX12" s="103"/>
      <c r="VJZ12" s="2146"/>
      <c r="VKA12" s="2146"/>
      <c r="VKN12" s="103"/>
      <c r="VKP12" s="2146"/>
      <c r="VKQ12" s="2146"/>
      <c r="VLD12" s="103"/>
      <c r="VLF12" s="2146"/>
      <c r="VLG12" s="2146"/>
      <c r="VLT12" s="103"/>
      <c r="VLV12" s="2146"/>
      <c r="VLW12" s="2146"/>
      <c r="VMJ12" s="103"/>
      <c r="VML12" s="2146"/>
      <c r="VMM12" s="2146"/>
      <c r="VMZ12" s="103"/>
      <c r="VNB12" s="2146"/>
      <c r="VNC12" s="2146"/>
      <c r="VNP12" s="103"/>
      <c r="VNR12" s="2146"/>
      <c r="VNS12" s="2146"/>
      <c r="VOF12" s="103"/>
      <c r="VOH12" s="2146"/>
      <c r="VOI12" s="2146"/>
      <c r="VOV12" s="103"/>
      <c r="VOX12" s="2146"/>
      <c r="VOY12" s="2146"/>
      <c r="VPL12" s="103"/>
      <c r="VPN12" s="2146"/>
      <c r="VPO12" s="2146"/>
      <c r="VQB12" s="103"/>
      <c r="VQD12" s="2146"/>
      <c r="VQE12" s="2146"/>
      <c r="VQR12" s="103"/>
      <c r="VQT12" s="2146"/>
      <c r="VQU12" s="2146"/>
      <c r="VRH12" s="103"/>
      <c r="VRJ12" s="2146"/>
      <c r="VRK12" s="2146"/>
      <c r="VRX12" s="103"/>
      <c r="VRZ12" s="2146"/>
      <c r="VSA12" s="2146"/>
      <c r="VSN12" s="103"/>
      <c r="VSP12" s="2146"/>
      <c r="VSQ12" s="2146"/>
      <c r="VTD12" s="103"/>
      <c r="VTF12" s="2146"/>
      <c r="VTG12" s="2146"/>
      <c r="VTT12" s="103"/>
      <c r="VTV12" s="2146"/>
      <c r="VTW12" s="2146"/>
      <c r="VUJ12" s="103"/>
      <c r="VUL12" s="2146"/>
      <c r="VUM12" s="2146"/>
      <c r="VUZ12" s="103"/>
      <c r="VVB12" s="2146"/>
      <c r="VVC12" s="2146"/>
      <c r="VVP12" s="103"/>
      <c r="VVR12" s="2146"/>
      <c r="VVS12" s="2146"/>
      <c r="VWF12" s="103"/>
      <c r="VWH12" s="2146"/>
      <c r="VWI12" s="2146"/>
      <c r="VWV12" s="103"/>
      <c r="VWX12" s="2146"/>
      <c r="VWY12" s="2146"/>
      <c r="VXL12" s="103"/>
      <c r="VXN12" s="2146"/>
      <c r="VXO12" s="2146"/>
      <c r="VYB12" s="103"/>
      <c r="VYD12" s="2146"/>
      <c r="VYE12" s="2146"/>
      <c r="VYR12" s="103"/>
      <c r="VYT12" s="2146"/>
      <c r="VYU12" s="2146"/>
      <c r="VZH12" s="103"/>
      <c r="VZJ12" s="2146"/>
      <c r="VZK12" s="2146"/>
      <c r="VZX12" s="103"/>
      <c r="VZZ12" s="2146"/>
      <c r="WAA12" s="2146"/>
      <c r="WAN12" s="103"/>
      <c r="WAP12" s="2146"/>
      <c r="WAQ12" s="2146"/>
      <c r="WBD12" s="103"/>
      <c r="WBF12" s="2146"/>
      <c r="WBG12" s="2146"/>
      <c r="WBT12" s="103"/>
      <c r="WBV12" s="2146"/>
      <c r="WBW12" s="2146"/>
      <c r="WCJ12" s="103"/>
      <c r="WCL12" s="2146"/>
      <c r="WCM12" s="2146"/>
      <c r="WCZ12" s="103"/>
      <c r="WDB12" s="2146"/>
      <c r="WDC12" s="2146"/>
      <c r="WDP12" s="103"/>
      <c r="WDR12" s="2146"/>
      <c r="WDS12" s="2146"/>
      <c r="WEF12" s="103"/>
      <c r="WEH12" s="2146"/>
      <c r="WEI12" s="2146"/>
      <c r="WEV12" s="103"/>
      <c r="WEX12" s="2146"/>
      <c r="WEY12" s="2146"/>
      <c r="WFL12" s="103"/>
      <c r="WFN12" s="2146"/>
      <c r="WFO12" s="2146"/>
      <c r="WGB12" s="103"/>
      <c r="WGD12" s="2146"/>
      <c r="WGE12" s="2146"/>
      <c r="WGR12" s="103"/>
      <c r="WGT12" s="2146"/>
      <c r="WGU12" s="2146"/>
      <c r="WHH12" s="103"/>
      <c r="WHJ12" s="2146"/>
      <c r="WHK12" s="2146"/>
      <c r="WHX12" s="103"/>
      <c r="WHZ12" s="2146"/>
      <c r="WIA12" s="2146"/>
      <c r="WIN12" s="103"/>
      <c r="WIP12" s="2146"/>
      <c r="WIQ12" s="2146"/>
      <c r="WJD12" s="103"/>
      <c r="WJF12" s="2146"/>
      <c r="WJG12" s="2146"/>
      <c r="WJT12" s="103"/>
      <c r="WJV12" s="2146"/>
      <c r="WJW12" s="2146"/>
      <c r="WKJ12" s="103"/>
      <c r="WKL12" s="2146"/>
      <c r="WKM12" s="2146"/>
      <c r="WKZ12" s="103"/>
      <c r="WLB12" s="2146"/>
      <c r="WLC12" s="2146"/>
      <c r="WLP12" s="103"/>
      <c r="WLR12" s="2146"/>
      <c r="WLS12" s="2146"/>
      <c r="WMF12" s="103"/>
      <c r="WMH12" s="2146"/>
      <c r="WMI12" s="2146"/>
      <c r="WMV12" s="103"/>
      <c r="WMX12" s="2146"/>
      <c r="WMY12" s="2146"/>
      <c r="WNL12" s="103"/>
      <c r="WNN12" s="2146"/>
      <c r="WNO12" s="2146"/>
      <c r="WOB12" s="103"/>
      <c r="WOD12" s="2146"/>
      <c r="WOE12" s="2146"/>
      <c r="WOR12" s="103"/>
      <c r="WOT12" s="2146"/>
      <c r="WOU12" s="2146"/>
      <c r="WPH12" s="103"/>
      <c r="WPJ12" s="2146"/>
      <c r="WPK12" s="2146"/>
      <c r="WPX12" s="103"/>
      <c r="WPZ12" s="2146"/>
      <c r="WQA12" s="2146"/>
      <c r="WQN12" s="103"/>
      <c r="WQP12" s="2146"/>
      <c r="WQQ12" s="2146"/>
      <c r="WRD12" s="103"/>
      <c r="WRF12" s="2146"/>
      <c r="WRG12" s="2146"/>
      <c r="WRT12" s="103"/>
      <c r="WRV12" s="2146"/>
      <c r="WRW12" s="2146"/>
      <c r="WSJ12" s="103"/>
      <c r="WSL12" s="2146"/>
      <c r="WSM12" s="2146"/>
      <c r="WSZ12" s="103"/>
      <c r="WTB12" s="2146"/>
      <c r="WTC12" s="2146"/>
      <c r="WTP12" s="103"/>
      <c r="WTR12" s="2146"/>
      <c r="WTS12" s="2146"/>
      <c r="WUF12" s="103"/>
      <c r="WUH12" s="2146"/>
      <c r="WUI12" s="2146"/>
      <c r="WUV12" s="103"/>
      <c r="WUX12" s="2146"/>
      <c r="WUY12" s="2146"/>
      <c r="WVL12" s="103"/>
      <c r="WVN12" s="2146"/>
      <c r="WVO12" s="2146"/>
      <c r="WWB12" s="103"/>
      <c r="WWD12" s="2146"/>
      <c r="WWE12" s="2146"/>
      <c r="WWR12" s="103"/>
      <c r="WWT12" s="2146"/>
      <c r="WWU12" s="2146"/>
      <c r="WXH12" s="103"/>
      <c r="WXJ12" s="2146"/>
      <c r="WXK12" s="2146"/>
      <c r="WXX12" s="103"/>
      <c r="WXZ12" s="2146"/>
      <c r="WYA12" s="2146"/>
      <c r="WYN12" s="103"/>
      <c r="WYP12" s="2146"/>
      <c r="WYQ12" s="2146"/>
      <c r="WZD12" s="103"/>
      <c r="WZF12" s="2146"/>
      <c r="WZG12" s="2146"/>
      <c r="WZT12" s="103"/>
      <c r="WZV12" s="2146"/>
      <c r="WZW12" s="2146"/>
      <c r="XAJ12" s="103"/>
      <c r="XAL12" s="2146"/>
      <c r="XAM12" s="2146"/>
      <c r="XAZ12" s="103"/>
      <c r="XBB12" s="2146"/>
      <c r="XBC12" s="2146"/>
      <c r="XBP12" s="103"/>
      <c r="XBR12" s="2146"/>
      <c r="XBS12" s="2146"/>
      <c r="XCF12" s="103"/>
      <c r="XCH12" s="2146"/>
      <c r="XCI12" s="2146"/>
      <c r="XCV12" s="103"/>
      <c r="XCX12" s="2146"/>
      <c r="XCY12" s="2146"/>
      <c r="XDL12" s="103"/>
      <c r="XDN12" s="2146"/>
      <c r="XDO12" s="2146"/>
      <c r="XEB12" s="103"/>
      <c r="XED12" s="2146"/>
      <c r="XEE12" s="2146"/>
      <c r="XER12" s="103"/>
      <c r="XET12" s="2146"/>
      <c r="XEU12" s="2146"/>
    </row>
    <row r="13" spans="1:1015 1028:2039 2052:3063 3076:4087 4100:5111 5124:6135 6148:7159 7172:8183 8196:9207 9220:10231 10244:11255 11268:12279 12292:13303 13316:14327 14340:15351 15364:16375" ht="15.6">
      <c r="D13" s="722" t="s">
        <v>894</v>
      </c>
      <c r="E13" s="670" t="s">
        <v>365</v>
      </c>
      <c r="F13" s="2155" t="e">
        <f ca="1">_ZLF</f>
        <v>#DIV/0!</v>
      </c>
      <c r="G13" s="2155"/>
      <c r="H13" s="2156"/>
      <c r="I13" s="2156"/>
      <c r="J13" s="2156"/>
      <c r="K13" s="2156"/>
      <c r="L13" s="2156"/>
      <c r="M13" s="2156"/>
      <c r="N13" s="2156"/>
      <c r="O13" s="2156"/>
      <c r="P13" s="2156"/>
    </row>
    <row r="14" spans="1:1015 1028:2039 2052:3063 3076:4087 4100:5111 5124:6135 6148:7159 7172:8183 8196:9207 9220:10231 10244:11255 11268:12279 12292:13303 13316:14327 14340:15351 15364:16375" ht="15.6">
      <c r="D14" s="722" t="s">
        <v>1602</v>
      </c>
      <c r="E14" s="670" t="s">
        <v>365</v>
      </c>
      <c r="F14" s="2155" t="e">
        <f ca="1">'6) Zone Imp'!S187</f>
        <v>#DIV/0!</v>
      </c>
      <c r="G14" s="2155"/>
      <c r="H14" s="2157" t="e">
        <f ca="1">IF(F15&lt;=(ArcResistance*CTR_PTR),"Zone 3 does not have enough resistive coverage after the load encroachment.","Zone 3 does have enough resistive coverage after the load encroachment.")</f>
        <v>#DIV/0!</v>
      </c>
      <c r="I14" s="2157"/>
      <c r="J14" s="2157"/>
      <c r="K14" s="2157"/>
      <c r="L14" s="2157"/>
      <c r="M14" s="2157"/>
      <c r="N14" s="2157"/>
      <c r="O14" s="2157"/>
      <c r="P14" s="2157"/>
    </row>
    <row r="15" spans="1:1015 1028:2039 2052:3063 3076:4087 4100:5111 5124:6135 6148:7159 7172:8183 8196:9207 9220:10231 10244:11255 11268:12279 12292:13303 13316:14327 14340:15351 15364:16375" ht="15.6">
      <c r="D15" s="587" t="s">
        <v>1603</v>
      </c>
      <c r="E15" s="670" t="s">
        <v>365</v>
      </c>
      <c r="F15" s="2155" t="e">
        <f ca="1">'6) Zone Imp'!I165</f>
        <v>#DIV/0!</v>
      </c>
      <c r="G15" s="2155"/>
      <c r="H15" s="2157"/>
      <c r="I15" s="2157"/>
      <c r="J15" s="2157"/>
      <c r="K15" s="2157"/>
      <c r="L15" s="2157"/>
      <c r="M15" s="2157"/>
      <c r="N15" s="2157"/>
      <c r="O15" s="2157"/>
      <c r="P15" s="2157"/>
    </row>
    <row r="16" spans="1:1015 1028:2039 2052:3063 3076:4087 4100:5111 5124:6135 6148:7159 7172:8183 8196:9207 9220:10231 10244:11255 11268:12279 12292:13303 13316:14327 14340:15351 15364:16375" ht="15.6">
      <c r="D16" s="722" t="s">
        <v>1604</v>
      </c>
      <c r="E16" s="670" t="s">
        <v>365</v>
      </c>
      <c r="F16" s="1411" t="e">
        <f ca="1">_50P1P*CTR/5</f>
        <v>#DIV/0!</v>
      </c>
      <c r="G16" s="1411" t="e">
        <f ca="1" xml:space="preserve"> IF(F17&lt;ROUND('10) SOTF'!E10*0.85*1000/(SQRT(3)*'10) SOTF'!E8),2),""," &gt;  " &amp; LoadabilityLimit)</f>
        <v>#DIV/0!</v>
      </c>
      <c r="H16" s="1745" t="e">
        <f ca="1">IF(F17&lt;ROUND('10) SOTF'!E10*0.85*1000/(SQRT(3)*'10) SOTF'!E8),2),"SOTF Low set Volatge supervision is less than 85% of Nominal Voltage and Low set SOTF over current pickup can be set less than loadability limit","SOTF Low set Volatge supervision is greater than 85% of Nominal Voltage and Low set SOTF over current pickup should be greater than loadability limit")</f>
        <v>#DIV/0!</v>
      </c>
      <c r="I16" s="1745"/>
      <c r="J16" s="1745"/>
      <c r="K16" s="1745"/>
      <c r="L16" s="1745"/>
      <c r="M16" s="1745"/>
      <c r="N16" s="1745"/>
      <c r="O16" s="1745"/>
      <c r="P16" s="1745"/>
    </row>
    <row r="17" spans="1:20" ht="15.6">
      <c r="D17" s="722" t="s">
        <v>1605</v>
      </c>
      <c r="E17" s="670" t="s">
        <v>365</v>
      </c>
      <c r="F17" s="1411" t="e">
        <f ca="1">'10) SOTF'!S34</f>
        <v>#DIV/0!</v>
      </c>
      <c r="G17" s="1411" t="e">
        <f ca="1" xml:space="preserve">  "&lt; " &amp; ROUND('10) SOTF'!E10*0.85*1000/(SQRT(3)*'10) SOTF'!E8),2)</f>
        <v>#DIV/0!</v>
      </c>
      <c r="H17" s="1745"/>
      <c r="I17" s="1745"/>
      <c r="J17" s="1745"/>
      <c r="K17" s="1745"/>
      <c r="L17" s="1745"/>
      <c r="M17" s="1745"/>
      <c r="N17" s="1745"/>
      <c r="O17" s="1745"/>
      <c r="P17" s="1745"/>
    </row>
    <row r="18" spans="1:20" ht="15.6">
      <c r="D18" s="722" t="s">
        <v>1606</v>
      </c>
      <c r="E18" s="670" t="s">
        <v>365</v>
      </c>
      <c r="F18" s="1411" t="e">
        <f ca="1">_50P3P*CTR/5</f>
        <v>#DIV/0!</v>
      </c>
      <c r="G18" s="1411" t="str">
        <f xml:space="preserve"> " &gt;  " &amp; LoadabilityLimit</f>
        <v xml:space="preserve"> &gt;  0</v>
      </c>
      <c r="H18" s="2164" t="e">
        <f ca="1">IF(F18&gt;LoadabilityLimit,"SOTF High Set Is Higher than Loadability Limit","SOTF High Set Is Lower than Loadability Limit")</f>
        <v>#DIV/0!</v>
      </c>
      <c r="I18" s="2164"/>
      <c r="J18" s="2164"/>
      <c r="K18" s="2164"/>
      <c r="L18" s="2164"/>
      <c r="M18" s="2164"/>
      <c r="N18" s="2164"/>
      <c r="O18" s="2164"/>
      <c r="P18" s="2164"/>
      <c r="T18" s="38"/>
    </row>
    <row r="19" spans="1:20" ht="15.6">
      <c r="D19" s="722"/>
      <c r="E19" s="670"/>
      <c r="F19" s="2155"/>
      <c r="G19" s="2155"/>
      <c r="H19" s="670"/>
      <c r="T19" s="38"/>
    </row>
    <row r="20" spans="1:20" ht="17.399999999999999" hidden="1">
      <c r="A20" s="1965" t="s">
        <v>1607</v>
      </c>
      <c r="B20" s="1965"/>
      <c r="C20" s="1965"/>
      <c r="D20" s="1965"/>
      <c r="E20" s="1965"/>
      <c r="F20" s="1965"/>
      <c r="G20" s="1965"/>
      <c r="H20" s="1965"/>
      <c r="I20" s="1965"/>
      <c r="J20" s="1965"/>
      <c r="K20" s="1965"/>
      <c r="L20" s="1965"/>
      <c r="M20" s="1965"/>
      <c r="N20" s="1965"/>
      <c r="O20" s="1965"/>
      <c r="P20" s="1965"/>
    </row>
    <row r="21" spans="1:20" hidden="1"/>
    <row r="22" spans="1:20" ht="15.75" hidden="1" customHeight="1">
      <c r="A22" s="2163" t="s">
        <v>1608</v>
      </c>
      <c r="B22" s="2163"/>
      <c r="C22" s="2163"/>
      <c r="D22" s="2163"/>
      <c r="E22" s="2163"/>
      <c r="F22" s="2163"/>
      <c r="G22" s="2163"/>
      <c r="H22" s="2163"/>
      <c r="I22" s="2163"/>
      <c r="J22" s="2163"/>
      <c r="K22" s="2163"/>
      <c r="L22" s="2163"/>
      <c r="M22" s="2163"/>
      <c r="N22" s="2163"/>
      <c r="O22" s="2163"/>
      <c r="P22" s="2163"/>
    </row>
    <row r="23" spans="1:20" ht="15.6" hidden="1">
      <c r="D23" s="722" t="s">
        <v>1609</v>
      </c>
      <c r="E23" s="670" t="s">
        <v>365</v>
      </c>
      <c r="F23" s="2158" t="str">
        <f>IFERROR(IF('1) Data Entry'!S50="",VLOOKUP(PRC_025_criteria_selected,PRC_025_CAL_TABLE,8),'1) Data Entry'!S50),"")</f>
        <v/>
      </c>
      <c r="G23" s="2158"/>
    </row>
    <row r="24" spans="1:20" ht="27" hidden="1" customHeight="1">
      <c r="D24" s="983" t="s">
        <v>1610</v>
      </c>
      <c r="E24" s="984" t="s">
        <v>365</v>
      </c>
      <c r="F24" s="2165" t="str">
        <f ca="1">HYPERLINK("#"&amp;CELL("address",NERC_Criteria),PRC_025_criteria_selected)</f>
        <v>Select PRC-025-Asynchronous Requirement</v>
      </c>
      <c r="G24" s="2165"/>
      <c r="H24" s="2165"/>
      <c r="I24" s="2165"/>
      <c r="J24" s="2165"/>
      <c r="K24" s="2165"/>
      <c r="L24" s="2165"/>
      <c r="M24" s="2165"/>
      <c r="N24" s="2165"/>
      <c r="O24" s="2165"/>
      <c r="P24" s="2165"/>
    </row>
    <row r="25" spans="1:20" ht="15.6" hidden="1">
      <c r="D25" s="722" t="s">
        <v>1611</v>
      </c>
      <c r="E25" s="670" t="s">
        <v>365</v>
      </c>
      <c r="F25" s="787" t="str">
        <f ca="1">INDIRECT(CELL("address",OFFSET(PRC_025_criteria_selected,0,20)))</f>
        <v/>
      </c>
      <c r="G25" s="1410"/>
    </row>
    <row r="26" spans="1:20" ht="15.6" hidden="1">
      <c r="D26" s="722" t="s">
        <v>1612</v>
      </c>
      <c r="E26" s="670" t="s">
        <v>365</v>
      </c>
      <c r="F26" s="1411" t="str">
        <f ca="1">INDIRECT(CELL("address",OFFSET(PRC_025_criteria_selected,0,22)))</f>
        <v/>
      </c>
      <c r="G26" s="1410"/>
    </row>
    <row r="27" spans="1:20" ht="15.6" hidden="1">
      <c r="D27" s="722" t="s">
        <v>1613</v>
      </c>
      <c r="E27" s="670" t="s">
        <v>365</v>
      </c>
      <c r="F27" s="787" t="str">
        <f ca="1">INDIRECT(CELL("address",OFFSET(PRC_025_criteria_selected,0,6)))</f>
        <v/>
      </c>
      <c r="G27" s="1410"/>
    </row>
    <row r="28" spans="1:20" ht="15.6" hidden="1">
      <c r="D28" s="722" t="str">
        <f>"Z1P in Sec Ohms at Load Angle of "&amp; '6) Zone Imp'!U163 &amp; " Deg"</f>
        <v>Z1P in Sec Ohms at Load Angle of 40 Deg</v>
      </c>
      <c r="E28" s="670" t="s">
        <v>365</v>
      </c>
      <c r="F28" s="2155" t="str">
        <f ca="1">IFERROR('7) Relay Calc'!H51*COS((_Z1ANG-F33)*PI()/180),"")</f>
        <v/>
      </c>
      <c r="G28" s="2155"/>
      <c r="H28" s="670" t="e">
        <f ca="1">IF(F28&lt;I28,"&lt;","&gt;")</f>
        <v>#DIV/0!</v>
      </c>
      <c r="I28" t="e">
        <f ca="1">_ZLF</f>
        <v>#DIV/0!</v>
      </c>
      <c r="K28" s="864" t="e">
        <f ca="1">IF(F28&gt;I28,"Zone 1 3Ph fault will be blocked by Load Encroachment below load angle","")</f>
        <v>#DIV/0!</v>
      </c>
    </row>
    <row r="29" spans="1:20" ht="15.6" hidden="1">
      <c r="D29" s="722" t="str">
        <f>"Z2P in Sec Ohms at Load Angle of "&amp; '6) Zone Imp'!U163 &amp; " Deg"</f>
        <v>Z2P in Sec Ohms at Load Angle of 40 Deg</v>
      </c>
      <c r="E29" s="670" t="s">
        <v>365</v>
      </c>
      <c r="F29" s="2155" t="str">
        <f ca="1">IFERROR('7) Relay Calc'!H52*COS((_Z1ANG-F33)*PI()/180),"")</f>
        <v/>
      </c>
      <c r="G29" s="2155"/>
      <c r="H29" s="670" t="e">
        <f ca="1">IF(F29&lt;I29,"&lt;","&gt;")</f>
        <v>#DIV/0!</v>
      </c>
      <c r="I29" t="e">
        <f ca="1">_ZLF</f>
        <v>#DIV/0!</v>
      </c>
      <c r="K29" s="864" t="e">
        <f ca="1">IF(F29&gt;I29,"Zone 2 3Ph fault will be blocked by Load Encroachment below load angle","")</f>
        <v>#DIV/0!</v>
      </c>
    </row>
    <row r="30" spans="1:20" ht="15.6" hidden="1">
      <c r="D30" s="722" t="str">
        <f>"Z4P in Sec Ohms at Load Angle of "&amp; '6) Zone Imp'!U163 &amp; " Deg"</f>
        <v>Z4P in Sec Ohms at Load Angle of 40 Deg</v>
      </c>
      <c r="E30" s="670" t="s">
        <v>365</v>
      </c>
      <c r="F30" s="2155" t="str">
        <f ca="1">IFERROR('7) Relay Calc'!H54*COS((_Z1ANG-F33)*PI()/180),"")</f>
        <v/>
      </c>
      <c r="G30" s="2155"/>
      <c r="H30" s="670" t="e">
        <f ca="1">IF(F30&lt;I30,"&lt;","&gt;")</f>
        <v>#DIV/0!</v>
      </c>
      <c r="I30" t="e">
        <f ca="1">_ZLF</f>
        <v>#DIV/0!</v>
      </c>
      <c r="K30" s="864" t="e">
        <f ca="1">IF(F30&gt;I30,"Zone 3 3Ph fault will be blocked by Load Encroachment below load angle","")</f>
        <v>#DIV/0!</v>
      </c>
    </row>
    <row r="31" spans="1:20" ht="15.6" hidden="1">
      <c r="D31" s="587" t="s">
        <v>1603</v>
      </c>
      <c r="E31" s="670" t="s">
        <v>365</v>
      </c>
      <c r="F31" s="903" t="str">
        <f ca="1">IFERROR('6) Zone Imp'!I165,"")</f>
        <v/>
      </c>
      <c r="G31" s="903"/>
      <c r="H31" s="904" t="e">
        <f ca="1">IF(F31&lt;=(ArcResistance*CTR_PTR),"Zone 3 does not have enough resistive coverage after the load encroachment.","Zone 3 does have enough resistive coverage after the load encroachment.")</f>
        <v>#DIV/0!</v>
      </c>
      <c r="I31" s="692"/>
      <c r="K31" s="864"/>
    </row>
    <row r="32" spans="1:20" ht="15.6" hidden="1">
      <c r="D32" s="722" t="s">
        <v>1614</v>
      </c>
      <c r="E32" s="670" t="s">
        <v>365</v>
      </c>
      <c r="F32" s="1411" t="str">
        <f>IFERROR(IF('6) Zone Imp'!U160&lt;&gt;"",'6) Zone Imp'!U160,_Z1ANG),"")</f>
        <v/>
      </c>
      <c r="G32" s="1411"/>
    </row>
    <row r="33" spans="2:13" ht="15.6" hidden="1">
      <c r="D33" s="722" t="s">
        <v>1615</v>
      </c>
      <c r="E33" s="670" t="s">
        <v>365</v>
      </c>
      <c r="F33" s="2155">
        <f>IFERROR('6) Zone Imp'!U163,"")</f>
        <v>40</v>
      </c>
      <c r="G33" s="2155"/>
    </row>
    <row r="34" spans="2:13" hidden="1">
      <c r="B34" s="583" t="s">
        <v>1616</v>
      </c>
    </row>
    <row r="35" spans="2:13" hidden="1">
      <c r="M35" s="141"/>
    </row>
  </sheetData>
  <sheetProtection algorithmName="SHA-512" hashValue="sZptw3Xahu4GA9LmsKaWNSHl7ffnVym4OzE6y5AjmG+lMJBxUqFuZw98G/UkJ+rNjhrOpD4CW5QtYETgEP0/8w==" saltValue="723P2bZ0PaEr/fif/Aq0lQ==" spinCount="100000" sheet="1" objects="1" scenarios="1"/>
  <mergeCells count="3094">
    <mergeCell ref="F23:G23"/>
    <mergeCell ref="F28:G28"/>
    <mergeCell ref="F29:G29"/>
    <mergeCell ref="F30:G30"/>
    <mergeCell ref="F33:G33"/>
    <mergeCell ref="AL10:AM10"/>
    <mergeCell ref="BB10:BC10"/>
    <mergeCell ref="BR10:BS10"/>
    <mergeCell ref="CH10:CI10"/>
    <mergeCell ref="CX10:CY10"/>
    <mergeCell ref="DN10:DO10"/>
    <mergeCell ref="A1:P1"/>
    <mergeCell ref="F3:H3"/>
    <mergeCell ref="A5:P5"/>
    <mergeCell ref="F8:G8"/>
    <mergeCell ref="F10:G10"/>
    <mergeCell ref="V10:W10"/>
    <mergeCell ref="H10:P11"/>
    <mergeCell ref="A7:P7"/>
    <mergeCell ref="A20:P20"/>
    <mergeCell ref="A22:P22"/>
    <mergeCell ref="H18:P18"/>
    <mergeCell ref="H16:P17"/>
    <mergeCell ref="F24:P24"/>
    <mergeCell ref="LN10:LO10"/>
    <mergeCell ref="MD10:ME10"/>
    <mergeCell ref="MT10:MU10"/>
    <mergeCell ref="NJ10:NK10"/>
    <mergeCell ref="NZ10:OA10"/>
    <mergeCell ref="OP10:OQ10"/>
    <mergeCell ref="HV10:HW10"/>
    <mergeCell ref="IL10:IM10"/>
    <mergeCell ref="JB10:JC10"/>
    <mergeCell ref="JR10:JS10"/>
    <mergeCell ref="KH10:KI10"/>
    <mergeCell ref="KX10:KY10"/>
    <mergeCell ref="ED10:EE10"/>
    <mergeCell ref="ET10:EU10"/>
    <mergeCell ref="FJ10:FK10"/>
    <mergeCell ref="FZ10:GA10"/>
    <mergeCell ref="GP10:GQ10"/>
    <mergeCell ref="HF10:HG10"/>
    <mergeCell ref="WP10:WQ10"/>
    <mergeCell ref="XF10:XG10"/>
    <mergeCell ref="XV10:XW10"/>
    <mergeCell ref="YL10:YM10"/>
    <mergeCell ref="ZB10:ZC10"/>
    <mergeCell ref="ZR10:ZS10"/>
    <mergeCell ref="SX10:SY10"/>
    <mergeCell ref="TN10:TO10"/>
    <mergeCell ref="UD10:UE10"/>
    <mergeCell ref="UT10:UU10"/>
    <mergeCell ref="VJ10:VK10"/>
    <mergeCell ref="VZ10:WA10"/>
    <mergeCell ref="PF10:PG10"/>
    <mergeCell ref="PV10:PW10"/>
    <mergeCell ref="QL10:QM10"/>
    <mergeCell ref="RB10:RC10"/>
    <mergeCell ref="RR10:RS10"/>
    <mergeCell ref="SH10:SI10"/>
    <mergeCell ref="AHR10:AHS10"/>
    <mergeCell ref="AIH10:AII10"/>
    <mergeCell ref="AIX10:AIY10"/>
    <mergeCell ref="AJN10:AJO10"/>
    <mergeCell ref="AKD10:AKE10"/>
    <mergeCell ref="AKT10:AKU10"/>
    <mergeCell ref="ADZ10:AEA10"/>
    <mergeCell ref="AEP10:AEQ10"/>
    <mergeCell ref="AFF10:AFG10"/>
    <mergeCell ref="AFV10:AFW10"/>
    <mergeCell ref="AGL10:AGM10"/>
    <mergeCell ref="AHB10:AHC10"/>
    <mergeCell ref="AAH10:AAI10"/>
    <mergeCell ref="AAX10:AAY10"/>
    <mergeCell ref="ABN10:ABO10"/>
    <mergeCell ref="ACD10:ACE10"/>
    <mergeCell ref="ACT10:ACU10"/>
    <mergeCell ref="ADJ10:ADK10"/>
    <mergeCell ref="AST10:ASU10"/>
    <mergeCell ref="ATJ10:ATK10"/>
    <mergeCell ref="ATZ10:AUA10"/>
    <mergeCell ref="AUP10:AUQ10"/>
    <mergeCell ref="AVF10:AVG10"/>
    <mergeCell ref="AVV10:AVW10"/>
    <mergeCell ref="APB10:APC10"/>
    <mergeCell ref="APR10:APS10"/>
    <mergeCell ref="AQH10:AQI10"/>
    <mergeCell ref="AQX10:AQY10"/>
    <mergeCell ref="ARN10:ARO10"/>
    <mergeCell ref="ASD10:ASE10"/>
    <mergeCell ref="ALJ10:ALK10"/>
    <mergeCell ref="ALZ10:AMA10"/>
    <mergeCell ref="AMP10:AMQ10"/>
    <mergeCell ref="ANF10:ANG10"/>
    <mergeCell ref="ANV10:ANW10"/>
    <mergeCell ref="AOL10:AOM10"/>
    <mergeCell ref="BDV10:BDW10"/>
    <mergeCell ref="BEL10:BEM10"/>
    <mergeCell ref="BFB10:BFC10"/>
    <mergeCell ref="BFR10:BFS10"/>
    <mergeCell ref="BGH10:BGI10"/>
    <mergeCell ref="BGX10:BGY10"/>
    <mergeCell ref="BAD10:BAE10"/>
    <mergeCell ref="BAT10:BAU10"/>
    <mergeCell ref="BBJ10:BBK10"/>
    <mergeCell ref="BBZ10:BCA10"/>
    <mergeCell ref="BCP10:BCQ10"/>
    <mergeCell ref="BDF10:BDG10"/>
    <mergeCell ref="AWL10:AWM10"/>
    <mergeCell ref="AXB10:AXC10"/>
    <mergeCell ref="AXR10:AXS10"/>
    <mergeCell ref="AYH10:AYI10"/>
    <mergeCell ref="AYX10:AYY10"/>
    <mergeCell ref="AZN10:AZO10"/>
    <mergeCell ref="BOX10:BOY10"/>
    <mergeCell ref="BPN10:BPO10"/>
    <mergeCell ref="BQD10:BQE10"/>
    <mergeCell ref="BQT10:BQU10"/>
    <mergeCell ref="BRJ10:BRK10"/>
    <mergeCell ref="BRZ10:BSA10"/>
    <mergeCell ref="BLF10:BLG10"/>
    <mergeCell ref="BLV10:BLW10"/>
    <mergeCell ref="BML10:BMM10"/>
    <mergeCell ref="BNB10:BNC10"/>
    <mergeCell ref="BNR10:BNS10"/>
    <mergeCell ref="BOH10:BOI10"/>
    <mergeCell ref="BHN10:BHO10"/>
    <mergeCell ref="BID10:BIE10"/>
    <mergeCell ref="BIT10:BIU10"/>
    <mergeCell ref="BJJ10:BJK10"/>
    <mergeCell ref="BJZ10:BKA10"/>
    <mergeCell ref="BKP10:BKQ10"/>
    <mergeCell ref="BZZ10:CAA10"/>
    <mergeCell ref="CAP10:CAQ10"/>
    <mergeCell ref="CBF10:CBG10"/>
    <mergeCell ref="CBV10:CBW10"/>
    <mergeCell ref="CCL10:CCM10"/>
    <mergeCell ref="CDB10:CDC10"/>
    <mergeCell ref="BWH10:BWI10"/>
    <mergeCell ref="BWX10:BWY10"/>
    <mergeCell ref="BXN10:BXO10"/>
    <mergeCell ref="BYD10:BYE10"/>
    <mergeCell ref="BYT10:BYU10"/>
    <mergeCell ref="BZJ10:BZK10"/>
    <mergeCell ref="BSP10:BSQ10"/>
    <mergeCell ref="BTF10:BTG10"/>
    <mergeCell ref="BTV10:BTW10"/>
    <mergeCell ref="BUL10:BUM10"/>
    <mergeCell ref="BVB10:BVC10"/>
    <mergeCell ref="BVR10:BVS10"/>
    <mergeCell ref="CLB10:CLC10"/>
    <mergeCell ref="CLR10:CLS10"/>
    <mergeCell ref="CMH10:CMI10"/>
    <mergeCell ref="CMX10:CMY10"/>
    <mergeCell ref="CNN10:CNO10"/>
    <mergeCell ref="COD10:COE10"/>
    <mergeCell ref="CHJ10:CHK10"/>
    <mergeCell ref="CHZ10:CIA10"/>
    <mergeCell ref="CIP10:CIQ10"/>
    <mergeCell ref="CJF10:CJG10"/>
    <mergeCell ref="CJV10:CJW10"/>
    <mergeCell ref="CKL10:CKM10"/>
    <mergeCell ref="CDR10:CDS10"/>
    <mergeCell ref="CEH10:CEI10"/>
    <mergeCell ref="CEX10:CEY10"/>
    <mergeCell ref="CFN10:CFO10"/>
    <mergeCell ref="CGD10:CGE10"/>
    <mergeCell ref="CGT10:CGU10"/>
    <mergeCell ref="CWD10:CWE10"/>
    <mergeCell ref="CWT10:CWU10"/>
    <mergeCell ref="CXJ10:CXK10"/>
    <mergeCell ref="CXZ10:CYA10"/>
    <mergeCell ref="CYP10:CYQ10"/>
    <mergeCell ref="CZF10:CZG10"/>
    <mergeCell ref="CSL10:CSM10"/>
    <mergeCell ref="CTB10:CTC10"/>
    <mergeCell ref="CTR10:CTS10"/>
    <mergeCell ref="CUH10:CUI10"/>
    <mergeCell ref="CUX10:CUY10"/>
    <mergeCell ref="CVN10:CVO10"/>
    <mergeCell ref="COT10:COU10"/>
    <mergeCell ref="CPJ10:CPK10"/>
    <mergeCell ref="CPZ10:CQA10"/>
    <mergeCell ref="CQP10:CQQ10"/>
    <mergeCell ref="CRF10:CRG10"/>
    <mergeCell ref="CRV10:CRW10"/>
    <mergeCell ref="DHF10:DHG10"/>
    <mergeCell ref="DHV10:DHW10"/>
    <mergeCell ref="DIL10:DIM10"/>
    <mergeCell ref="DJB10:DJC10"/>
    <mergeCell ref="DJR10:DJS10"/>
    <mergeCell ref="DKH10:DKI10"/>
    <mergeCell ref="DDN10:DDO10"/>
    <mergeCell ref="DED10:DEE10"/>
    <mergeCell ref="DET10:DEU10"/>
    <mergeCell ref="DFJ10:DFK10"/>
    <mergeCell ref="DFZ10:DGA10"/>
    <mergeCell ref="DGP10:DGQ10"/>
    <mergeCell ref="CZV10:CZW10"/>
    <mergeCell ref="DAL10:DAM10"/>
    <mergeCell ref="DBB10:DBC10"/>
    <mergeCell ref="DBR10:DBS10"/>
    <mergeCell ref="DCH10:DCI10"/>
    <mergeCell ref="DCX10:DCY10"/>
    <mergeCell ref="DSH10:DSI10"/>
    <mergeCell ref="DSX10:DSY10"/>
    <mergeCell ref="DTN10:DTO10"/>
    <mergeCell ref="DUD10:DUE10"/>
    <mergeCell ref="DUT10:DUU10"/>
    <mergeCell ref="DVJ10:DVK10"/>
    <mergeCell ref="DOP10:DOQ10"/>
    <mergeCell ref="DPF10:DPG10"/>
    <mergeCell ref="DPV10:DPW10"/>
    <mergeCell ref="DQL10:DQM10"/>
    <mergeCell ref="DRB10:DRC10"/>
    <mergeCell ref="DRR10:DRS10"/>
    <mergeCell ref="DKX10:DKY10"/>
    <mergeCell ref="DLN10:DLO10"/>
    <mergeCell ref="DMD10:DME10"/>
    <mergeCell ref="DMT10:DMU10"/>
    <mergeCell ref="DNJ10:DNK10"/>
    <mergeCell ref="DNZ10:DOA10"/>
    <mergeCell ref="EDJ10:EDK10"/>
    <mergeCell ref="EDZ10:EEA10"/>
    <mergeCell ref="EEP10:EEQ10"/>
    <mergeCell ref="EFF10:EFG10"/>
    <mergeCell ref="EFV10:EFW10"/>
    <mergeCell ref="EGL10:EGM10"/>
    <mergeCell ref="DZR10:DZS10"/>
    <mergeCell ref="EAH10:EAI10"/>
    <mergeCell ref="EAX10:EAY10"/>
    <mergeCell ref="EBN10:EBO10"/>
    <mergeCell ref="ECD10:ECE10"/>
    <mergeCell ref="ECT10:ECU10"/>
    <mergeCell ref="DVZ10:DWA10"/>
    <mergeCell ref="DWP10:DWQ10"/>
    <mergeCell ref="DXF10:DXG10"/>
    <mergeCell ref="DXV10:DXW10"/>
    <mergeCell ref="DYL10:DYM10"/>
    <mergeCell ref="DZB10:DZC10"/>
    <mergeCell ref="EOL10:EOM10"/>
    <mergeCell ref="EPB10:EPC10"/>
    <mergeCell ref="EPR10:EPS10"/>
    <mergeCell ref="EQH10:EQI10"/>
    <mergeCell ref="EQX10:EQY10"/>
    <mergeCell ref="ERN10:ERO10"/>
    <mergeCell ref="EKT10:EKU10"/>
    <mergeCell ref="ELJ10:ELK10"/>
    <mergeCell ref="ELZ10:EMA10"/>
    <mergeCell ref="EMP10:EMQ10"/>
    <mergeCell ref="ENF10:ENG10"/>
    <mergeCell ref="ENV10:ENW10"/>
    <mergeCell ref="EHB10:EHC10"/>
    <mergeCell ref="EHR10:EHS10"/>
    <mergeCell ref="EIH10:EII10"/>
    <mergeCell ref="EIX10:EIY10"/>
    <mergeCell ref="EJN10:EJO10"/>
    <mergeCell ref="EKD10:EKE10"/>
    <mergeCell ref="EZN10:EZO10"/>
    <mergeCell ref="FAD10:FAE10"/>
    <mergeCell ref="FAT10:FAU10"/>
    <mergeCell ref="FBJ10:FBK10"/>
    <mergeCell ref="FBZ10:FCA10"/>
    <mergeCell ref="FCP10:FCQ10"/>
    <mergeCell ref="EVV10:EVW10"/>
    <mergeCell ref="EWL10:EWM10"/>
    <mergeCell ref="EXB10:EXC10"/>
    <mergeCell ref="EXR10:EXS10"/>
    <mergeCell ref="EYH10:EYI10"/>
    <mergeCell ref="EYX10:EYY10"/>
    <mergeCell ref="ESD10:ESE10"/>
    <mergeCell ref="EST10:ESU10"/>
    <mergeCell ref="ETJ10:ETK10"/>
    <mergeCell ref="ETZ10:EUA10"/>
    <mergeCell ref="EUP10:EUQ10"/>
    <mergeCell ref="EVF10:EVG10"/>
    <mergeCell ref="FKP10:FKQ10"/>
    <mergeCell ref="FLF10:FLG10"/>
    <mergeCell ref="FLV10:FLW10"/>
    <mergeCell ref="FML10:FMM10"/>
    <mergeCell ref="FNB10:FNC10"/>
    <mergeCell ref="FNR10:FNS10"/>
    <mergeCell ref="FGX10:FGY10"/>
    <mergeCell ref="FHN10:FHO10"/>
    <mergeCell ref="FID10:FIE10"/>
    <mergeCell ref="FIT10:FIU10"/>
    <mergeCell ref="FJJ10:FJK10"/>
    <mergeCell ref="FJZ10:FKA10"/>
    <mergeCell ref="FDF10:FDG10"/>
    <mergeCell ref="FDV10:FDW10"/>
    <mergeCell ref="FEL10:FEM10"/>
    <mergeCell ref="FFB10:FFC10"/>
    <mergeCell ref="FFR10:FFS10"/>
    <mergeCell ref="FGH10:FGI10"/>
    <mergeCell ref="FVR10:FVS10"/>
    <mergeCell ref="FWH10:FWI10"/>
    <mergeCell ref="FWX10:FWY10"/>
    <mergeCell ref="FXN10:FXO10"/>
    <mergeCell ref="FYD10:FYE10"/>
    <mergeCell ref="FYT10:FYU10"/>
    <mergeCell ref="FRZ10:FSA10"/>
    <mergeCell ref="FSP10:FSQ10"/>
    <mergeCell ref="FTF10:FTG10"/>
    <mergeCell ref="FTV10:FTW10"/>
    <mergeCell ref="FUL10:FUM10"/>
    <mergeCell ref="FVB10:FVC10"/>
    <mergeCell ref="FOH10:FOI10"/>
    <mergeCell ref="FOX10:FOY10"/>
    <mergeCell ref="FPN10:FPO10"/>
    <mergeCell ref="FQD10:FQE10"/>
    <mergeCell ref="FQT10:FQU10"/>
    <mergeCell ref="FRJ10:FRK10"/>
    <mergeCell ref="GGT10:GGU10"/>
    <mergeCell ref="GHJ10:GHK10"/>
    <mergeCell ref="GHZ10:GIA10"/>
    <mergeCell ref="GIP10:GIQ10"/>
    <mergeCell ref="GJF10:GJG10"/>
    <mergeCell ref="GJV10:GJW10"/>
    <mergeCell ref="GDB10:GDC10"/>
    <mergeCell ref="GDR10:GDS10"/>
    <mergeCell ref="GEH10:GEI10"/>
    <mergeCell ref="GEX10:GEY10"/>
    <mergeCell ref="GFN10:GFO10"/>
    <mergeCell ref="GGD10:GGE10"/>
    <mergeCell ref="FZJ10:FZK10"/>
    <mergeCell ref="FZZ10:GAA10"/>
    <mergeCell ref="GAP10:GAQ10"/>
    <mergeCell ref="GBF10:GBG10"/>
    <mergeCell ref="GBV10:GBW10"/>
    <mergeCell ref="GCL10:GCM10"/>
    <mergeCell ref="GRV10:GRW10"/>
    <mergeCell ref="GSL10:GSM10"/>
    <mergeCell ref="GTB10:GTC10"/>
    <mergeCell ref="GTR10:GTS10"/>
    <mergeCell ref="GUH10:GUI10"/>
    <mergeCell ref="GUX10:GUY10"/>
    <mergeCell ref="GOD10:GOE10"/>
    <mergeCell ref="GOT10:GOU10"/>
    <mergeCell ref="GPJ10:GPK10"/>
    <mergeCell ref="GPZ10:GQA10"/>
    <mergeCell ref="GQP10:GQQ10"/>
    <mergeCell ref="GRF10:GRG10"/>
    <mergeCell ref="GKL10:GKM10"/>
    <mergeCell ref="GLB10:GLC10"/>
    <mergeCell ref="GLR10:GLS10"/>
    <mergeCell ref="GMH10:GMI10"/>
    <mergeCell ref="GMX10:GMY10"/>
    <mergeCell ref="GNN10:GNO10"/>
    <mergeCell ref="HCX10:HCY10"/>
    <mergeCell ref="HDN10:HDO10"/>
    <mergeCell ref="HED10:HEE10"/>
    <mergeCell ref="HET10:HEU10"/>
    <mergeCell ref="HFJ10:HFK10"/>
    <mergeCell ref="HFZ10:HGA10"/>
    <mergeCell ref="GZF10:GZG10"/>
    <mergeCell ref="GZV10:GZW10"/>
    <mergeCell ref="HAL10:HAM10"/>
    <mergeCell ref="HBB10:HBC10"/>
    <mergeCell ref="HBR10:HBS10"/>
    <mergeCell ref="HCH10:HCI10"/>
    <mergeCell ref="GVN10:GVO10"/>
    <mergeCell ref="GWD10:GWE10"/>
    <mergeCell ref="GWT10:GWU10"/>
    <mergeCell ref="GXJ10:GXK10"/>
    <mergeCell ref="GXZ10:GYA10"/>
    <mergeCell ref="GYP10:GYQ10"/>
    <mergeCell ref="HNZ10:HOA10"/>
    <mergeCell ref="HOP10:HOQ10"/>
    <mergeCell ref="HPF10:HPG10"/>
    <mergeCell ref="HPV10:HPW10"/>
    <mergeCell ref="HQL10:HQM10"/>
    <mergeCell ref="HRB10:HRC10"/>
    <mergeCell ref="HKH10:HKI10"/>
    <mergeCell ref="HKX10:HKY10"/>
    <mergeCell ref="HLN10:HLO10"/>
    <mergeCell ref="HMD10:HME10"/>
    <mergeCell ref="HMT10:HMU10"/>
    <mergeCell ref="HNJ10:HNK10"/>
    <mergeCell ref="HGP10:HGQ10"/>
    <mergeCell ref="HHF10:HHG10"/>
    <mergeCell ref="HHV10:HHW10"/>
    <mergeCell ref="HIL10:HIM10"/>
    <mergeCell ref="HJB10:HJC10"/>
    <mergeCell ref="HJR10:HJS10"/>
    <mergeCell ref="HZB10:HZC10"/>
    <mergeCell ref="HZR10:HZS10"/>
    <mergeCell ref="IAH10:IAI10"/>
    <mergeCell ref="IAX10:IAY10"/>
    <mergeCell ref="IBN10:IBO10"/>
    <mergeCell ref="ICD10:ICE10"/>
    <mergeCell ref="HVJ10:HVK10"/>
    <mergeCell ref="HVZ10:HWA10"/>
    <mergeCell ref="HWP10:HWQ10"/>
    <mergeCell ref="HXF10:HXG10"/>
    <mergeCell ref="HXV10:HXW10"/>
    <mergeCell ref="HYL10:HYM10"/>
    <mergeCell ref="HRR10:HRS10"/>
    <mergeCell ref="HSH10:HSI10"/>
    <mergeCell ref="HSX10:HSY10"/>
    <mergeCell ref="HTN10:HTO10"/>
    <mergeCell ref="HUD10:HUE10"/>
    <mergeCell ref="HUT10:HUU10"/>
    <mergeCell ref="IKD10:IKE10"/>
    <mergeCell ref="IKT10:IKU10"/>
    <mergeCell ref="ILJ10:ILK10"/>
    <mergeCell ref="ILZ10:IMA10"/>
    <mergeCell ref="IMP10:IMQ10"/>
    <mergeCell ref="INF10:ING10"/>
    <mergeCell ref="IGL10:IGM10"/>
    <mergeCell ref="IHB10:IHC10"/>
    <mergeCell ref="IHR10:IHS10"/>
    <mergeCell ref="IIH10:III10"/>
    <mergeCell ref="IIX10:IIY10"/>
    <mergeCell ref="IJN10:IJO10"/>
    <mergeCell ref="ICT10:ICU10"/>
    <mergeCell ref="IDJ10:IDK10"/>
    <mergeCell ref="IDZ10:IEA10"/>
    <mergeCell ref="IEP10:IEQ10"/>
    <mergeCell ref="IFF10:IFG10"/>
    <mergeCell ref="IFV10:IFW10"/>
    <mergeCell ref="IVF10:IVG10"/>
    <mergeCell ref="IVV10:IVW10"/>
    <mergeCell ref="IWL10:IWM10"/>
    <mergeCell ref="IXB10:IXC10"/>
    <mergeCell ref="IXR10:IXS10"/>
    <mergeCell ref="IYH10:IYI10"/>
    <mergeCell ref="IRN10:IRO10"/>
    <mergeCell ref="ISD10:ISE10"/>
    <mergeCell ref="IST10:ISU10"/>
    <mergeCell ref="ITJ10:ITK10"/>
    <mergeCell ref="ITZ10:IUA10"/>
    <mergeCell ref="IUP10:IUQ10"/>
    <mergeCell ref="INV10:INW10"/>
    <mergeCell ref="IOL10:IOM10"/>
    <mergeCell ref="IPB10:IPC10"/>
    <mergeCell ref="IPR10:IPS10"/>
    <mergeCell ref="IQH10:IQI10"/>
    <mergeCell ref="IQX10:IQY10"/>
    <mergeCell ref="JGH10:JGI10"/>
    <mergeCell ref="JGX10:JGY10"/>
    <mergeCell ref="JHN10:JHO10"/>
    <mergeCell ref="JID10:JIE10"/>
    <mergeCell ref="JIT10:JIU10"/>
    <mergeCell ref="JJJ10:JJK10"/>
    <mergeCell ref="JCP10:JCQ10"/>
    <mergeCell ref="JDF10:JDG10"/>
    <mergeCell ref="JDV10:JDW10"/>
    <mergeCell ref="JEL10:JEM10"/>
    <mergeCell ref="JFB10:JFC10"/>
    <mergeCell ref="JFR10:JFS10"/>
    <mergeCell ref="IYX10:IYY10"/>
    <mergeCell ref="IZN10:IZO10"/>
    <mergeCell ref="JAD10:JAE10"/>
    <mergeCell ref="JAT10:JAU10"/>
    <mergeCell ref="JBJ10:JBK10"/>
    <mergeCell ref="JBZ10:JCA10"/>
    <mergeCell ref="JRJ10:JRK10"/>
    <mergeCell ref="JRZ10:JSA10"/>
    <mergeCell ref="JSP10:JSQ10"/>
    <mergeCell ref="JTF10:JTG10"/>
    <mergeCell ref="JTV10:JTW10"/>
    <mergeCell ref="JUL10:JUM10"/>
    <mergeCell ref="JNR10:JNS10"/>
    <mergeCell ref="JOH10:JOI10"/>
    <mergeCell ref="JOX10:JOY10"/>
    <mergeCell ref="JPN10:JPO10"/>
    <mergeCell ref="JQD10:JQE10"/>
    <mergeCell ref="JQT10:JQU10"/>
    <mergeCell ref="JJZ10:JKA10"/>
    <mergeCell ref="JKP10:JKQ10"/>
    <mergeCell ref="JLF10:JLG10"/>
    <mergeCell ref="JLV10:JLW10"/>
    <mergeCell ref="JML10:JMM10"/>
    <mergeCell ref="JNB10:JNC10"/>
    <mergeCell ref="KCL10:KCM10"/>
    <mergeCell ref="KDB10:KDC10"/>
    <mergeCell ref="KDR10:KDS10"/>
    <mergeCell ref="KEH10:KEI10"/>
    <mergeCell ref="KEX10:KEY10"/>
    <mergeCell ref="KFN10:KFO10"/>
    <mergeCell ref="JYT10:JYU10"/>
    <mergeCell ref="JZJ10:JZK10"/>
    <mergeCell ref="JZZ10:KAA10"/>
    <mergeCell ref="KAP10:KAQ10"/>
    <mergeCell ref="KBF10:KBG10"/>
    <mergeCell ref="KBV10:KBW10"/>
    <mergeCell ref="JVB10:JVC10"/>
    <mergeCell ref="JVR10:JVS10"/>
    <mergeCell ref="JWH10:JWI10"/>
    <mergeCell ref="JWX10:JWY10"/>
    <mergeCell ref="JXN10:JXO10"/>
    <mergeCell ref="JYD10:JYE10"/>
    <mergeCell ref="KNN10:KNO10"/>
    <mergeCell ref="KOD10:KOE10"/>
    <mergeCell ref="KOT10:KOU10"/>
    <mergeCell ref="KPJ10:KPK10"/>
    <mergeCell ref="KPZ10:KQA10"/>
    <mergeCell ref="KQP10:KQQ10"/>
    <mergeCell ref="KJV10:KJW10"/>
    <mergeCell ref="KKL10:KKM10"/>
    <mergeCell ref="KLB10:KLC10"/>
    <mergeCell ref="KLR10:KLS10"/>
    <mergeCell ref="KMH10:KMI10"/>
    <mergeCell ref="KMX10:KMY10"/>
    <mergeCell ref="KGD10:KGE10"/>
    <mergeCell ref="KGT10:KGU10"/>
    <mergeCell ref="KHJ10:KHK10"/>
    <mergeCell ref="KHZ10:KIA10"/>
    <mergeCell ref="KIP10:KIQ10"/>
    <mergeCell ref="KJF10:KJG10"/>
    <mergeCell ref="KYP10:KYQ10"/>
    <mergeCell ref="KZF10:KZG10"/>
    <mergeCell ref="KZV10:KZW10"/>
    <mergeCell ref="LAL10:LAM10"/>
    <mergeCell ref="LBB10:LBC10"/>
    <mergeCell ref="LBR10:LBS10"/>
    <mergeCell ref="KUX10:KUY10"/>
    <mergeCell ref="KVN10:KVO10"/>
    <mergeCell ref="KWD10:KWE10"/>
    <mergeCell ref="KWT10:KWU10"/>
    <mergeCell ref="KXJ10:KXK10"/>
    <mergeCell ref="KXZ10:KYA10"/>
    <mergeCell ref="KRF10:KRG10"/>
    <mergeCell ref="KRV10:KRW10"/>
    <mergeCell ref="KSL10:KSM10"/>
    <mergeCell ref="KTB10:KTC10"/>
    <mergeCell ref="KTR10:KTS10"/>
    <mergeCell ref="KUH10:KUI10"/>
    <mergeCell ref="LJR10:LJS10"/>
    <mergeCell ref="LKH10:LKI10"/>
    <mergeCell ref="LKX10:LKY10"/>
    <mergeCell ref="LLN10:LLO10"/>
    <mergeCell ref="LMD10:LME10"/>
    <mergeCell ref="LMT10:LMU10"/>
    <mergeCell ref="LFZ10:LGA10"/>
    <mergeCell ref="LGP10:LGQ10"/>
    <mergeCell ref="LHF10:LHG10"/>
    <mergeCell ref="LHV10:LHW10"/>
    <mergeCell ref="LIL10:LIM10"/>
    <mergeCell ref="LJB10:LJC10"/>
    <mergeCell ref="LCH10:LCI10"/>
    <mergeCell ref="LCX10:LCY10"/>
    <mergeCell ref="LDN10:LDO10"/>
    <mergeCell ref="LED10:LEE10"/>
    <mergeCell ref="LET10:LEU10"/>
    <mergeCell ref="LFJ10:LFK10"/>
    <mergeCell ref="LUT10:LUU10"/>
    <mergeCell ref="LVJ10:LVK10"/>
    <mergeCell ref="LVZ10:LWA10"/>
    <mergeCell ref="LWP10:LWQ10"/>
    <mergeCell ref="LXF10:LXG10"/>
    <mergeCell ref="LXV10:LXW10"/>
    <mergeCell ref="LRB10:LRC10"/>
    <mergeCell ref="LRR10:LRS10"/>
    <mergeCell ref="LSH10:LSI10"/>
    <mergeCell ref="LSX10:LSY10"/>
    <mergeCell ref="LTN10:LTO10"/>
    <mergeCell ref="LUD10:LUE10"/>
    <mergeCell ref="LNJ10:LNK10"/>
    <mergeCell ref="LNZ10:LOA10"/>
    <mergeCell ref="LOP10:LOQ10"/>
    <mergeCell ref="LPF10:LPG10"/>
    <mergeCell ref="LPV10:LPW10"/>
    <mergeCell ref="LQL10:LQM10"/>
    <mergeCell ref="MFV10:MFW10"/>
    <mergeCell ref="MGL10:MGM10"/>
    <mergeCell ref="MHB10:MHC10"/>
    <mergeCell ref="MHR10:MHS10"/>
    <mergeCell ref="MIH10:MII10"/>
    <mergeCell ref="MIX10:MIY10"/>
    <mergeCell ref="MCD10:MCE10"/>
    <mergeCell ref="MCT10:MCU10"/>
    <mergeCell ref="MDJ10:MDK10"/>
    <mergeCell ref="MDZ10:MEA10"/>
    <mergeCell ref="MEP10:MEQ10"/>
    <mergeCell ref="MFF10:MFG10"/>
    <mergeCell ref="LYL10:LYM10"/>
    <mergeCell ref="LZB10:LZC10"/>
    <mergeCell ref="LZR10:LZS10"/>
    <mergeCell ref="MAH10:MAI10"/>
    <mergeCell ref="MAX10:MAY10"/>
    <mergeCell ref="MBN10:MBO10"/>
    <mergeCell ref="MQX10:MQY10"/>
    <mergeCell ref="MRN10:MRO10"/>
    <mergeCell ref="MSD10:MSE10"/>
    <mergeCell ref="MST10:MSU10"/>
    <mergeCell ref="MTJ10:MTK10"/>
    <mergeCell ref="MTZ10:MUA10"/>
    <mergeCell ref="MNF10:MNG10"/>
    <mergeCell ref="MNV10:MNW10"/>
    <mergeCell ref="MOL10:MOM10"/>
    <mergeCell ref="MPB10:MPC10"/>
    <mergeCell ref="MPR10:MPS10"/>
    <mergeCell ref="MQH10:MQI10"/>
    <mergeCell ref="MJN10:MJO10"/>
    <mergeCell ref="MKD10:MKE10"/>
    <mergeCell ref="MKT10:MKU10"/>
    <mergeCell ref="MLJ10:MLK10"/>
    <mergeCell ref="MLZ10:MMA10"/>
    <mergeCell ref="MMP10:MMQ10"/>
    <mergeCell ref="NBZ10:NCA10"/>
    <mergeCell ref="NCP10:NCQ10"/>
    <mergeCell ref="NDF10:NDG10"/>
    <mergeCell ref="NDV10:NDW10"/>
    <mergeCell ref="NEL10:NEM10"/>
    <mergeCell ref="NFB10:NFC10"/>
    <mergeCell ref="MYH10:MYI10"/>
    <mergeCell ref="MYX10:MYY10"/>
    <mergeCell ref="MZN10:MZO10"/>
    <mergeCell ref="NAD10:NAE10"/>
    <mergeCell ref="NAT10:NAU10"/>
    <mergeCell ref="NBJ10:NBK10"/>
    <mergeCell ref="MUP10:MUQ10"/>
    <mergeCell ref="MVF10:MVG10"/>
    <mergeCell ref="MVV10:MVW10"/>
    <mergeCell ref="MWL10:MWM10"/>
    <mergeCell ref="MXB10:MXC10"/>
    <mergeCell ref="MXR10:MXS10"/>
    <mergeCell ref="NNB10:NNC10"/>
    <mergeCell ref="NNR10:NNS10"/>
    <mergeCell ref="NOH10:NOI10"/>
    <mergeCell ref="NOX10:NOY10"/>
    <mergeCell ref="NPN10:NPO10"/>
    <mergeCell ref="NQD10:NQE10"/>
    <mergeCell ref="NJJ10:NJK10"/>
    <mergeCell ref="NJZ10:NKA10"/>
    <mergeCell ref="NKP10:NKQ10"/>
    <mergeCell ref="NLF10:NLG10"/>
    <mergeCell ref="NLV10:NLW10"/>
    <mergeCell ref="NML10:NMM10"/>
    <mergeCell ref="NFR10:NFS10"/>
    <mergeCell ref="NGH10:NGI10"/>
    <mergeCell ref="NGX10:NGY10"/>
    <mergeCell ref="NHN10:NHO10"/>
    <mergeCell ref="NID10:NIE10"/>
    <mergeCell ref="NIT10:NIU10"/>
    <mergeCell ref="NYD10:NYE10"/>
    <mergeCell ref="NYT10:NYU10"/>
    <mergeCell ref="NZJ10:NZK10"/>
    <mergeCell ref="NZZ10:OAA10"/>
    <mergeCell ref="OAP10:OAQ10"/>
    <mergeCell ref="OBF10:OBG10"/>
    <mergeCell ref="NUL10:NUM10"/>
    <mergeCell ref="NVB10:NVC10"/>
    <mergeCell ref="NVR10:NVS10"/>
    <mergeCell ref="NWH10:NWI10"/>
    <mergeCell ref="NWX10:NWY10"/>
    <mergeCell ref="NXN10:NXO10"/>
    <mergeCell ref="NQT10:NQU10"/>
    <mergeCell ref="NRJ10:NRK10"/>
    <mergeCell ref="NRZ10:NSA10"/>
    <mergeCell ref="NSP10:NSQ10"/>
    <mergeCell ref="NTF10:NTG10"/>
    <mergeCell ref="NTV10:NTW10"/>
    <mergeCell ref="OJF10:OJG10"/>
    <mergeCell ref="OJV10:OJW10"/>
    <mergeCell ref="OKL10:OKM10"/>
    <mergeCell ref="OLB10:OLC10"/>
    <mergeCell ref="OLR10:OLS10"/>
    <mergeCell ref="OMH10:OMI10"/>
    <mergeCell ref="OFN10:OFO10"/>
    <mergeCell ref="OGD10:OGE10"/>
    <mergeCell ref="OGT10:OGU10"/>
    <mergeCell ref="OHJ10:OHK10"/>
    <mergeCell ref="OHZ10:OIA10"/>
    <mergeCell ref="OIP10:OIQ10"/>
    <mergeCell ref="OBV10:OBW10"/>
    <mergeCell ref="OCL10:OCM10"/>
    <mergeCell ref="ODB10:ODC10"/>
    <mergeCell ref="ODR10:ODS10"/>
    <mergeCell ref="OEH10:OEI10"/>
    <mergeCell ref="OEX10:OEY10"/>
    <mergeCell ref="OUH10:OUI10"/>
    <mergeCell ref="OUX10:OUY10"/>
    <mergeCell ref="OVN10:OVO10"/>
    <mergeCell ref="OWD10:OWE10"/>
    <mergeCell ref="OWT10:OWU10"/>
    <mergeCell ref="OXJ10:OXK10"/>
    <mergeCell ref="OQP10:OQQ10"/>
    <mergeCell ref="ORF10:ORG10"/>
    <mergeCell ref="ORV10:ORW10"/>
    <mergeCell ref="OSL10:OSM10"/>
    <mergeCell ref="OTB10:OTC10"/>
    <mergeCell ref="OTR10:OTS10"/>
    <mergeCell ref="OMX10:OMY10"/>
    <mergeCell ref="ONN10:ONO10"/>
    <mergeCell ref="OOD10:OOE10"/>
    <mergeCell ref="OOT10:OOU10"/>
    <mergeCell ref="OPJ10:OPK10"/>
    <mergeCell ref="OPZ10:OQA10"/>
    <mergeCell ref="PFJ10:PFK10"/>
    <mergeCell ref="PFZ10:PGA10"/>
    <mergeCell ref="PGP10:PGQ10"/>
    <mergeCell ref="PHF10:PHG10"/>
    <mergeCell ref="PHV10:PHW10"/>
    <mergeCell ref="PIL10:PIM10"/>
    <mergeCell ref="PBR10:PBS10"/>
    <mergeCell ref="PCH10:PCI10"/>
    <mergeCell ref="PCX10:PCY10"/>
    <mergeCell ref="PDN10:PDO10"/>
    <mergeCell ref="PED10:PEE10"/>
    <mergeCell ref="PET10:PEU10"/>
    <mergeCell ref="OXZ10:OYA10"/>
    <mergeCell ref="OYP10:OYQ10"/>
    <mergeCell ref="OZF10:OZG10"/>
    <mergeCell ref="OZV10:OZW10"/>
    <mergeCell ref="PAL10:PAM10"/>
    <mergeCell ref="PBB10:PBC10"/>
    <mergeCell ref="PQL10:PQM10"/>
    <mergeCell ref="PRB10:PRC10"/>
    <mergeCell ref="PRR10:PRS10"/>
    <mergeCell ref="PSH10:PSI10"/>
    <mergeCell ref="PSX10:PSY10"/>
    <mergeCell ref="PTN10:PTO10"/>
    <mergeCell ref="PMT10:PMU10"/>
    <mergeCell ref="PNJ10:PNK10"/>
    <mergeCell ref="PNZ10:POA10"/>
    <mergeCell ref="POP10:POQ10"/>
    <mergeCell ref="PPF10:PPG10"/>
    <mergeCell ref="PPV10:PPW10"/>
    <mergeCell ref="PJB10:PJC10"/>
    <mergeCell ref="PJR10:PJS10"/>
    <mergeCell ref="PKH10:PKI10"/>
    <mergeCell ref="PKX10:PKY10"/>
    <mergeCell ref="PLN10:PLO10"/>
    <mergeCell ref="PMD10:PME10"/>
    <mergeCell ref="QBN10:QBO10"/>
    <mergeCell ref="QCD10:QCE10"/>
    <mergeCell ref="QCT10:QCU10"/>
    <mergeCell ref="QDJ10:QDK10"/>
    <mergeCell ref="QDZ10:QEA10"/>
    <mergeCell ref="QEP10:QEQ10"/>
    <mergeCell ref="PXV10:PXW10"/>
    <mergeCell ref="PYL10:PYM10"/>
    <mergeCell ref="PZB10:PZC10"/>
    <mergeCell ref="PZR10:PZS10"/>
    <mergeCell ref="QAH10:QAI10"/>
    <mergeCell ref="QAX10:QAY10"/>
    <mergeCell ref="PUD10:PUE10"/>
    <mergeCell ref="PUT10:PUU10"/>
    <mergeCell ref="PVJ10:PVK10"/>
    <mergeCell ref="PVZ10:PWA10"/>
    <mergeCell ref="PWP10:PWQ10"/>
    <mergeCell ref="PXF10:PXG10"/>
    <mergeCell ref="QMP10:QMQ10"/>
    <mergeCell ref="QNF10:QNG10"/>
    <mergeCell ref="QNV10:QNW10"/>
    <mergeCell ref="QOL10:QOM10"/>
    <mergeCell ref="QPB10:QPC10"/>
    <mergeCell ref="QPR10:QPS10"/>
    <mergeCell ref="QIX10:QIY10"/>
    <mergeCell ref="QJN10:QJO10"/>
    <mergeCell ref="QKD10:QKE10"/>
    <mergeCell ref="QKT10:QKU10"/>
    <mergeCell ref="QLJ10:QLK10"/>
    <mergeCell ref="QLZ10:QMA10"/>
    <mergeCell ref="QFF10:QFG10"/>
    <mergeCell ref="QFV10:QFW10"/>
    <mergeCell ref="QGL10:QGM10"/>
    <mergeCell ref="QHB10:QHC10"/>
    <mergeCell ref="QHR10:QHS10"/>
    <mergeCell ref="QIH10:QII10"/>
    <mergeCell ref="QXR10:QXS10"/>
    <mergeCell ref="QYH10:QYI10"/>
    <mergeCell ref="QYX10:QYY10"/>
    <mergeCell ref="QZN10:QZO10"/>
    <mergeCell ref="RAD10:RAE10"/>
    <mergeCell ref="RAT10:RAU10"/>
    <mergeCell ref="QTZ10:QUA10"/>
    <mergeCell ref="QUP10:QUQ10"/>
    <mergeCell ref="QVF10:QVG10"/>
    <mergeCell ref="QVV10:QVW10"/>
    <mergeCell ref="QWL10:QWM10"/>
    <mergeCell ref="QXB10:QXC10"/>
    <mergeCell ref="QQH10:QQI10"/>
    <mergeCell ref="QQX10:QQY10"/>
    <mergeCell ref="QRN10:QRO10"/>
    <mergeCell ref="QSD10:QSE10"/>
    <mergeCell ref="QST10:QSU10"/>
    <mergeCell ref="QTJ10:QTK10"/>
    <mergeCell ref="RIT10:RIU10"/>
    <mergeCell ref="RJJ10:RJK10"/>
    <mergeCell ref="RJZ10:RKA10"/>
    <mergeCell ref="RKP10:RKQ10"/>
    <mergeCell ref="RLF10:RLG10"/>
    <mergeCell ref="RLV10:RLW10"/>
    <mergeCell ref="RFB10:RFC10"/>
    <mergeCell ref="RFR10:RFS10"/>
    <mergeCell ref="RGH10:RGI10"/>
    <mergeCell ref="RGX10:RGY10"/>
    <mergeCell ref="RHN10:RHO10"/>
    <mergeCell ref="RID10:RIE10"/>
    <mergeCell ref="RBJ10:RBK10"/>
    <mergeCell ref="RBZ10:RCA10"/>
    <mergeCell ref="RCP10:RCQ10"/>
    <mergeCell ref="RDF10:RDG10"/>
    <mergeCell ref="RDV10:RDW10"/>
    <mergeCell ref="REL10:REM10"/>
    <mergeCell ref="RTV10:RTW10"/>
    <mergeCell ref="RUL10:RUM10"/>
    <mergeCell ref="RVB10:RVC10"/>
    <mergeCell ref="RVR10:RVS10"/>
    <mergeCell ref="RWH10:RWI10"/>
    <mergeCell ref="RWX10:RWY10"/>
    <mergeCell ref="RQD10:RQE10"/>
    <mergeCell ref="RQT10:RQU10"/>
    <mergeCell ref="RRJ10:RRK10"/>
    <mergeCell ref="RRZ10:RSA10"/>
    <mergeCell ref="RSP10:RSQ10"/>
    <mergeCell ref="RTF10:RTG10"/>
    <mergeCell ref="RML10:RMM10"/>
    <mergeCell ref="RNB10:RNC10"/>
    <mergeCell ref="RNR10:RNS10"/>
    <mergeCell ref="ROH10:ROI10"/>
    <mergeCell ref="ROX10:ROY10"/>
    <mergeCell ref="RPN10:RPO10"/>
    <mergeCell ref="SEX10:SEY10"/>
    <mergeCell ref="SFN10:SFO10"/>
    <mergeCell ref="SGD10:SGE10"/>
    <mergeCell ref="SGT10:SGU10"/>
    <mergeCell ref="SHJ10:SHK10"/>
    <mergeCell ref="SHZ10:SIA10"/>
    <mergeCell ref="SBF10:SBG10"/>
    <mergeCell ref="SBV10:SBW10"/>
    <mergeCell ref="SCL10:SCM10"/>
    <mergeCell ref="SDB10:SDC10"/>
    <mergeCell ref="SDR10:SDS10"/>
    <mergeCell ref="SEH10:SEI10"/>
    <mergeCell ref="RXN10:RXO10"/>
    <mergeCell ref="RYD10:RYE10"/>
    <mergeCell ref="RYT10:RYU10"/>
    <mergeCell ref="RZJ10:RZK10"/>
    <mergeCell ref="RZZ10:SAA10"/>
    <mergeCell ref="SAP10:SAQ10"/>
    <mergeCell ref="SPZ10:SQA10"/>
    <mergeCell ref="SQP10:SQQ10"/>
    <mergeCell ref="SRF10:SRG10"/>
    <mergeCell ref="SRV10:SRW10"/>
    <mergeCell ref="SSL10:SSM10"/>
    <mergeCell ref="STB10:STC10"/>
    <mergeCell ref="SMH10:SMI10"/>
    <mergeCell ref="SMX10:SMY10"/>
    <mergeCell ref="SNN10:SNO10"/>
    <mergeCell ref="SOD10:SOE10"/>
    <mergeCell ref="SOT10:SOU10"/>
    <mergeCell ref="SPJ10:SPK10"/>
    <mergeCell ref="SIP10:SIQ10"/>
    <mergeCell ref="SJF10:SJG10"/>
    <mergeCell ref="SJV10:SJW10"/>
    <mergeCell ref="SKL10:SKM10"/>
    <mergeCell ref="SLB10:SLC10"/>
    <mergeCell ref="SLR10:SLS10"/>
    <mergeCell ref="TBB10:TBC10"/>
    <mergeCell ref="TBR10:TBS10"/>
    <mergeCell ref="TCH10:TCI10"/>
    <mergeCell ref="TCX10:TCY10"/>
    <mergeCell ref="TDN10:TDO10"/>
    <mergeCell ref="TED10:TEE10"/>
    <mergeCell ref="SXJ10:SXK10"/>
    <mergeCell ref="SXZ10:SYA10"/>
    <mergeCell ref="SYP10:SYQ10"/>
    <mergeCell ref="SZF10:SZG10"/>
    <mergeCell ref="SZV10:SZW10"/>
    <mergeCell ref="TAL10:TAM10"/>
    <mergeCell ref="STR10:STS10"/>
    <mergeCell ref="SUH10:SUI10"/>
    <mergeCell ref="SUX10:SUY10"/>
    <mergeCell ref="SVN10:SVO10"/>
    <mergeCell ref="SWD10:SWE10"/>
    <mergeCell ref="SWT10:SWU10"/>
    <mergeCell ref="TMD10:TME10"/>
    <mergeCell ref="TMT10:TMU10"/>
    <mergeCell ref="TNJ10:TNK10"/>
    <mergeCell ref="TNZ10:TOA10"/>
    <mergeCell ref="TOP10:TOQ10"/>
    <mergeCell ref="TPF10:TPG10"/>
    <mergeCell ref="TIL10:TIM10"/>
    <mergeCell ref="TJB10:TJC10"/>
    <mergeCell ref="TJR10:TJS10"/>
    <mergeCell ref="TKH10:TKI10"/>
    <mergeCell ref="TKX10:TKY10"/>
    <mergeCell ref="TLN10:TLO10"/>
    <mergeCell ref="TET10:TEU10"/>
    <mergeCell ref="TFJ10:TFK10"/>
    <mergeCell ref="TFZ10:TGA10"/>
    <mergeCell ref="TGP10:TGQ10"/>
    <mergeCell ref="THF10:THG10"/>
    <mergeCell ref="THV10:THW10"/>
    <mergeCell ref="TXF10:TXG10"/>
    <mergeCell ref="TXV10:TXW10"/>
    <mergeCell ref="TYL10:TYM10"/>
    <mergeCell ref="TZB10:TZC10"/>
    <mergeCell ref="TZR10:TZS10"/>
    <mergeCell ref="UAH10:UAI10"/>
    <mergeCell ref="TTN10:TTO10"/>
    <mergeCell ref="TUD10:TUE10"/>
    <mergeCell ref="TUT10:TUU10"/>
    <mergeCell ref="TVJ10:TVK10"/>
    <mergeCell ref="TVZ10:TWA10"/>
    <mergeCell ref="TWP10:TWQ10"/>
    <mergeCell ref="TPV10:TPW10"/>
    <mergeCell ref="TQL10:TQM10"/>
    <mergeCell ref="TRB10:TRC10"/>
    <mergeCell ref="TRR10:TRS10"/>
    <mergeCell ref="TSH10:TSI10"/>
    <mergeCell ref="TSX10:TSY10"/>
    <mergeCell ref="UIH10:UII10"/>
    <mergeCell ref="UIX10:UIY10"/>
    <mergeCell ref="UJN10:UJO10"/>
    <mergeCell ref="UKD10:UKE10"/>
    <mergeCell ref="UKT10:UKU10"/>
    <mergeCell ref="ULJ10:ULK10"/>
    <mergeCell ref="UEP10:UEQ10"/>
    <mergeCell ref="UFF10:UFG10"/>
    <mergeCell ref="UFV10:UFW10"/>
    <mergeCell ref="UGL10:UGM10"/>
    <mergeCell ref="UHB10:UHC10"/>
    <mergeCell ref="UHR10:UHS10"/>
    <mergeCell ref="UAX10:UAY10"/>
    <mergeCell ref="UBN10:UBO10"/>
    <mergeCell ref="UCD10:UCE10"/>
    <mergeCell ref="UCT10:UCU10"/>
    <mergeCell ref="UDJ10:UDK10"/>
    <mergeCell ref="UDZ10:UEA10"/>
    <mergeCell ref="UTJ10:UTK10"/>
    <mergeCell ref="UTZ10:UUA10"/>
    <mergeCell ref="UUP10:UUQ10"/>
    <mergeCell ref="UVF10:UVG10"/>
    <mergeCell ref="UVV10:UVW10"/>
    <mergeCell ref="UWL10:UWM10"/>
    <mergeCell ref="UPR10:UPS10"/>
    <mergeCell ref="UQH10:UQI10"/>
    <mergeCell ref="UQX10:UQY10"/>
    <mergeCell ref="URN10:URO10"/>
    <mergeCell ref="USD10:USE10"/>
    <mergeCell ref="UST10:USU10"/>
    <mergeCell ref="ULZ10:UMA10"/>
    <mergeCell ref="UMP10:UMQ10"/>
    <mergeCell ref="UNF10:UNG10"/>
    <mergeCell ref="UNV10:UNW10"/>
    <mergeCell ref="UOL10:UOM10"/>
    <mergeCell ref="UPB10:UPC10"/>
    <mergeCell ref="VEL10:VEM10"/>
    <mergeCell ref="VFB10:VFC10"/>
    <mergeCell ref="VFR10:VFS10"/>
    <mergeCell ref="VGH10:VGI10"/>
    <mergeCell ref="VGX10:VGY10"/>
    <mergeCell ref="VHN10:VHO10"/>
    <mergeCell ref="VAT10:VAU10"/>
    <mergeCell ref="VBJ10:VBK10"/>
    <mergeCell ref="VBZ10:VCA10"/>
    <mergeCell ref="VCP10:VCQ10"/>
    <mergeCell ref="VDF10:VDG10"/>
    <mergeCell ref="VDV10:VDW10"/>
    <mergeCell ref="UXB10:UXC10"/>
    <mergeCell ref="UXR10:UXS10"/>
    <mergeCell ref="UYH10:UYI10"/>
    <mergeCell ref="UYX10:UYY10"/>
    <mergeCell ref="UZN10:UZO10"/>
    <mergeCell ref="VAD10:VAE10"/>
    <mergeCell ref="VPN10:VPO10"/>
    <mergeCell ref="VQD10:VQE10"/>
    <mergeCell ref="VQT10:VQU10"/>
    <mergeCell ref="VRJ10:VRK10"/>
    <mergeCell ref="VRZ10:VSA10"/>
    <mergeCell ref="VSP10:VSQ10"/>
    <mergeCell ref="VLV10:VLW10"/>
    <mergeCell ref="VML10:VMM10"/>
    <mergeCell ref="VNB10:VNC10"/>
    <mergeCell ref="VNR10:VNS10"/>
    <mergeCell ref="VOH10:VOI10"/>
    <mergeCell ref="VOX10:VOY10"/>
    <mergeCell ref="VID10:VIE10"/>
    <mergeCell ref="VIT10:VIU10"/>
    <mergeCell ref="VJJ10:VJK10"/>
    <mergeCell ref="VJZ10:VKA10"/>
    <mergeCell ref="VKP10:VKQ10"/>
    <mergeCell ref="VLF10:VLG10"/>
    <mergeCell ref="WAP10:WAQ10"/>
    <mergeCell ref="WBF10:WBG10"/>
    <mergeCell ref="WBV10:WBW10"/>
    <mergeCell ref="WCL10:WCM10"/>
    <mergeCell ref="WDB10:WDC10"/>
    <mergeCell ref="WDR10:WDS10"/>
    <mergeCell ref="VWX10:VWY10"/>
    <mergeCell ref="VXN10:VXO10"/>
    <mergeCell ref="VYD10:VYE10"/>
    <mergeCell ref="VYT10:VYU10"/>
    <mergeCell ref="VZJ10:VZK10"/>
    <mergeCell ref="VZZ10:WAA10"/>
    <mergeCell ref="VTF10:VTG10"/>
    <mergeCell ref="VTV10:VTW10"/>
    <mergeCell ref="VUL10:VUM10"/>
    <mergeCell ref="VVB10:VVC10"/>
    <mergeCell ref="VVR10:VVS10"/>
    <mergeCell ref="VWH10:VWI10"/>
    <mergeCell ref="WRV10:WRW10"/>
    <mergeCell ref="WSL10:WSM10"/>
    <mergeCell ref="WLR10:WLS10"/>
    <mergeCell ref="WMH10:WMI10"/>
    <mergeCell ref="WMX10:WMY10"/>
    <mergeCell ref="WNN10:WNO10"/>
    <mergeCell ref="WOD10:WOE10"/>
    <mergeCell ref="WOT10:WOU10"/>
    <mergeCell ref="WHZ10:WIA10"/>
    <mergeCell ref="WIP10:WIQ10"/>
    <mergeCell ref="WJF10:WJG10"/>
    <mergeCell ref="WJV10:WJW10"/>
    <mergeCell ref="WKL10:WKM10"/>
    <mergeCell ref="WLB10:WLC10"/>
    <mergeCell ref="WEH10:WEI10"/>
    <mergeCell ref="WEX10:WEY10"/>
    <mergeCell ref="WFN10:WFO10"/>
    <mergeCell ref="WGD10:WGE10"/>
    <mergeCell ref="WGT10:WGU10"/>
    <mergeCell ref="WHJ10:WHK10"/>
    <mergeCell ref="XED10:XEE10"/>
    <mergeCell ref="XET10:XEU10"/>
    <mergeCell ref="F11:G11"/>
    <mergeCell ref="V11:W11"/>
    <mergeCell ref="AL11:AM11"/>
    <mergeCell ref="BB11:BC11"/>
    <mergeCell ref="BR11:BS11"/>
    <mergeCell ref="CH11:CI11"/>
    <mergeCell ref="CX11:CY11"/>
    <mergeCell ref="DN11:DO11"/>
    <mergeCell ref="XAL10:XAM10"/>
    <mergeCell ref="XBB10:XBC10"/>
    <mergeCell ref="XBR10:XBS10"/>
    <mergeCell ref="XCH10:XCI10"/>
    <mergeCell ref="XCX10:XCY10"/>
    <mergeCell ref="XDN10:XDO10"/>
    <mergeCell ref="WWT10:WWU10"/>
    <mergeCell ref="WXJ10:WXK10"/>
    <mergeCell ref="WXZ10:WYA10"/>
    <mergeCell ref="WYP10:WYQ10"/>
    <mergeCell ref="WZF10:WZG10"/>
    <mergeCell ref="WZV10:WZW10"/>
    <mergeCell ref="WTB10:WTC10"/>
    <mergeCell ref="WTR10:WTS10"/>
    <mergeCell ref="WUH10:WUI10"/>
    <mergeCell ref="WUX10:WUY10"/>
    <mergeCell ref="WVN10:WVO10"/>
    <mergeCell ref="WWD10:WWE10"/>
    <mergeCell ref="WPJ10:WPK10"/>
    <mergeCell ref="WPZ10:WQA10"/>
    <mergeCell ref="WQP10:WQQ10"/>
    <mergeCell ref="WRF10:WRG10"/>
    <mergeCell ref="LN11:LO11"/>
    <mergeCell ref="MD11:ME11"/>
    <mergeCell ref="MT11:MU11"/>
    <mergeCell ref="NJ11:NK11"/>
    <mergeCell ref="NZ11:OA11"/>
    <mergeCell ref="OP11:OQ11"/>
    <mergeCell ref="HV11:HW11"/>
    <mergeCell ref="IL11:IM11"/>
    <mergeCell ref="JB11:JC11"/>
    <mergeCell ref="JR11:JS11"/>
    <mergeCell ref="KH11:KI11"/>
    <mergeCell ref="KX11:KY11"/>
    <mergeCell ref="ED11:EE11"/>
    <mergeCell ref="ET11:EU11"/>
    <mergeCell ref="FJ11:FK11"/>
    <mergeCell ref="FZ11:GA11"/>
    <mergeCell ref="GP11:GQ11"/>
    <mergeCell ref="HF11:HG11"/>
    <mergeCell ref="WP11:WQ11"/>
    <mergeCell ref="XF11:XG11"/>
    <mergeCell ref="XV11:XW11"/>
    <mergeCell ref="YL11:YM11"/>
    <mergeCell ref="ZB11:ZC11"/>
    <mergeCell ref="ZR11:ZS11"/>
    <mergeCell ref="SX11:SY11"/>
    <mergeCell ref="TN11:TO11"/>
    <mergeCell ref="UD11:UE11"/>
    <mergeCell ref="UT11:UU11"/>
    <mergeCell ref="VJ11:VK11"/>
    <mergeCell ref="VZ11:WA11"/>
    <mergeCell ref="PF11:PG11"/>
    <mergeCell ref="PV11:PW11"/>
    <mergeCell ref="QL11:QM11"/>
    <mergeCell ref="RB11:RC11"/>
    <mergeCell ref="RR11:RS11"/>
    <mergeCell ref="SH11:SI11"/>
    <mergeCell ref="AHR11:AHS11"/>
    <mergeCell ref="AIH11:AII11"/>
    <mergeCell ref="AIX11:AIY11"/>
    <mergeCell ref="AJN11:AJO11"/>
    <mergeCell ref="AKD11:AKE11"/>
    <mergeCell ref="AKT11:AKU11"/>
    <mergeCell ref="ADZ11:AEA11"/>
    <mergeCell ref="AEP11:AEQ11"/>
    <mergeCell ref="AFF11:AFG11"/>
    <mergeCell ref="AFV11:AFW11"/>
    <mergeCell ref="AGL11:AGM11"/>
    <mergeCell ref="AHB11:AHC11"/>
    <mergeCell ref="AAH11:AAI11"/>
    <mergeCell ref="AAX11:AAY11"/>
    <mergeCell ref="ABN11:ABO11"/>
    <mergeCell ref="ACD11:ACE11"/>
    <mergeCell ref="ACT11:ACU11"/>
    <mergeCell ref="ADJ11:ADK11"/>
    <mergeCell ref="AST11:ASU11"/>
    <mergeCell ref="ATJ11:ATK11"/>
    <mergeCell ref="ATZ11:AUA11"/>
    <mergeCell ref="AUP11:AUQ11"/>
    <mergeCell ref="AVF11:AVG11"/>
    <mergeCell ref="AVV11:AVW11"/>
    <mergeCell ref="APB11:APC11"/>
    <mergeCell ref="APR11:APS11"/>
    <mergeCell ref="AQH11:AQI11"/>
    <mergeCell ref="AQX11:AQY11"/>
    <mergeCell ref="ARN11:ARO11"/>
    <mergeCell ref="ASD11:ASE11"/>
    <mergeCell ref="ALJ11:ALK11"/>
    <mergeCell ref="ALZ11:AMA11"/>
    <mergeCell ref="AMP11:AMQ11"/>
    <mergeCell ref="ANF11:ANG11"/>
    <mergeCell ref="ANV11:ANW11"/>
    <mergeCell ref="AOL11:AOM11"/>
    <mergeCell ref="BDV11:BDW11"/>
    <mergeCell ref="BEL11:BEM11"/>
    <mergeCell ref="BFB11:BFC11"/>
    <mergeCell ref="BFR11:BFS11"/>
    <mergeCell ref="BGH11:BGI11"/>
    <mergeCell ref="BGX11:BGY11"/>
    <mergeCell ref="BAD11:BAE11"/>
    <mergeCell ref="BAT11:BAU11"/>
    <mergeCell ref="BBJ11:BBK11"/>
    <mergeCell ref="BBZ11:BCA11"/>
    <mergeCell ref="BCP11:BCQ11"/>
    <mergeCell ref="BDF11:BDG11"/>
    <mergeCell ref="AWL11:AWM11"/>
    <mergeCell ref="AXB11:AXC11"/>
    <mergeCell ref="AXR11:AXS11"/>
    <mergeCell ref="AYH11:AYI11"/>
    <mergeCell ref="AYX11:AYY11"/>
    <mergeCell ref="AZN11:AZO11"/>
    <mergeCell ref="BOX11:BOY11"/>
    <mergeCell ref="BPN11:BPO11"/>
    <mergeCell ref="BQD11:BQE11"/>
    <mergeCell ref="BQT11:BQU11"/>
    <mergeCell ref="BRJ11:BRK11"/>
    <mergeCell ref="BRZ11:BSA11"/>
    <mergeCell ref="BLF11:BLG11"/>
    <mergeCell ref="BLV11:BLW11"/>
    <mergeCell ref="BML11:BMM11"/>
    <mergeCell ref="BNB11:BNC11"/>
    <mergeCell ref="BNR11:BNS11"/>
    <mergeCell ref="BOH11:BOI11"/>
    <mergeCell ref="BHN11:BHO11"/>
    <mergeCell ref="BID11:BIE11"/>
    <mergeCell ref="BIT11:BIU11"/>
    <mergeCell ref="BJJ11:BJK11"/>
    <mergeCell ref="BJZ11:BKA11"/>
    <mergeCell ref="BKP11:BKQ11"/>
    <mergeCell ref="BZZ11:CAA11"/>
    <mergeCell ref="CAP11:CAQ11"/>
    <mergeCell ref="CBF11:CBG11"/>
    <mergeCell ref="CBV11:CBW11"/>
    <mergeCell ref="CCL11:CCM11"/>
    <mergeCell ref="CDB11:CDC11"/>
    <mergeCell ref="BWH11:BWI11"/>
    <mergeCell ref="BWX11:BWY11"/>
    <mergeCell ref="BXN11:BXO11"/>
    <mergeCell ref="BYD11:BYE11"/>
    <mergeCell ref="BYT11:BYU11"/>
    <mergeCell ref="BZJ11:BZK11"/>
    <mergeCell ref="BSP11:BSQ11"/>
    <mergeCell ref="BTF11:BTG11"/>
    <mergeCell ref="BTV11:BTW11"/>
    <mergeCell ref="BUL11:BUM11"/>
    <mergeCell ref="BVB11:BVC11"/>
    <mergeCell ref="BVR11:BVS11"/>
    <mergeCell ref="CLB11:CLC11"/>
    <mergeCell ref="CLR11:CLS11"/>
    <mergeCell ref="CMH11:CMI11"/>
    <mergeCell ref="CMX11:CMY11"/>
    <mergeCell ref="CNN11:CNO11"/>
    <mergeCell ref="COD11:COE11"/>
    <mergeCell ref="CHJ11:CHK11"/>
    <mergeCell ref="CHZ11:CIA11"/>
    <mergeCell ref="CIP11:CIQ11"/>
    <mergeCell ref="CJF11:CJG11"/>
    <mergeCell ref="CJV11:CJW11"/>
    <mergeCell ref="CKL11:CKM11"/>
    <mergeCell ref="CDR11:CDS11"/>
    <mergeCell ref="CEH11:CEI11"/>
    <mergeCell ref="CEX11:CEY11"/>
    <mergeCell ref="CFN11:CFO11"/>
    <mergeCell ref="CGD11:CGE11"/>
    <mergeCell ref="CGT11:CGU11"/>
    <mergeCell ref="CWD11:CWE11"/>
    <mergeCell ref="CWT11:CWU11"/>
    <mergeCell ref="CXJ11:CXK11"/>
    <mergeCell ref="CXZ11:CYA11"/>
    <mergeCell ref="CYP11:CYQ11"/>
    <mergeCell ref="CZF11:CZG11"/>
    <mergeCell ref="CSL11:CSM11"/>
    <mergeCell ref="CTB11:CTC11"/>
    <mergeCell ref="CTR11:CTS11"/>
    <mergeCell ref="CUH11:CUI11"/>
    <mergeCell ref="CUX11:CUY11"/>
    <mergeCell ref="CVN11:CVO11"/>
    <mergeCell ref="COT11:COU11"/>
    <mergeCell ref="CPJ11:CPK11"/>
    <mergeCell ref="CPZ11:CQA11"/>
    <mergeCell ref="CQP11:CQQ11"/>
    <mergeCell ref="CRF11:CRG11"/>
    <mergeCell ref="CRV11:CRW11"/>
    <mergeCell ref="DHF11:DHG11"/>
    <mergeCell ref="DHV11:DHW11"/>
    <mergeCell ref="DIL11:DIM11"/>
    <mergeCell ref="DJB11:DJC11"/>
    <mergeCell ref="DJR11:DJS11"/>
    <mergeCell ref="DKH11:DKI11"/>
    <mergeCell ref="DDN11:DDO11"/>
    <mergeCell ref="DED11:DEE11"/>
    <mergeCell ref="DET11:DEU11"/>
    <mergeCell ref="DFJ11:DFK11"/>
    <mergeCell ref="DFZ11:DGA11"/>
    <mergeCell ref="DGP11:DGQ11"/>
    <mergeCell ref="CZV11:CZW11"/>
    <mergeCell ref="DAL11:DAM11"/>
    <mergeCell ref="DBB11:DBC11"/>
    <mergeCell ref="DBR11:DBS11"/>
    <mergeCell ref="DCH11:DCI11"/>
    <mergeCell ref="DCX11:DCY11"/>
    <mergeCell ref="DSH11:DSI11"/>
    <mergeCell ref="DSX11:DSY11"/>
    <mergeCell ref="DTN11:DTO11"/>
    <mergeCell ref="DUD11:DUE11"/>
    <mergeCell ref="DUT11:DUU11"/>
    <mergeCell ref="DVJ11:DVK11"/>
    <mergeCell ref="DOP11:DOQ11"/>
    <mergeCell ref="DPF11:DPG11"/>
    <mergeCell ref="DPV11:DPW11"/>
    <mergeCell ref="DQL11:DQM11"/>
    <mergeCell ref="DRB11:DRC11"/>
    <mergeCell ref="DRR11:DRS11"/>
    <mergeCell ref="DKX11:DKY11"/>
    <mergeCell ref="DLN11:DLO11"/>
    <mergeCell ref="DMD11:DME11"/>
    <mergeCell ref="DMT11:DMU11"/>
    <mergeCell ref="DNJ11:DNK11"/>
    <mergeCell ref="DNZ11:DOA11"/>
    <mergeCell ref="EDJ11:EDK11"/>
    <mergeCell ref="EDZ11:EEA11"/>
    <mergeCell ref="EEP11:EEQ11"/>
    <mergeCell ref="EFF11:EFG11"/>
    <mergeCell ref="EFV11:EFW11"/>
    <mergeCell ref="EGL11:EGM11"/>
    <mergeCell ref="DZR11:DZS11"/>
    <mergeCell ref="EAH11:EAI11"/>
    <mergeCell ref="EAX11:EAY11"/>
    <mergeCell ref="EBN11:EBO11"/>
    <mergeCell ref="ECD11:ECE11"/>
    <mergeCell ref="ECT11:ECU11"/>
    <mergeCell ref="DVZ11:DWA11"/>
    <mergeCell ref="DWP11:DWQ11"/>
    <mergeCell ref="DXF11:DXG11"/>
    <mergeCell ref="DXV11:DXW11"/>
    <mergeCell ref="DYL11:DYM11"/>
    <mergeCell ref="DZB11:DZC11"/>
    <mergeCell ref="EOL11:EOM11"/>
    <mergeCell ref="EPB11:EPC11"/>
    <mergeCell ref="EPR11:EPS11"/>
    <mergeCell ref="EQH11:EQI11"/>
    <mergeCell ref="EQX11:EQY11"/>
    <mergeCell ref="ERN11:ERO11"/>
    <mergeCell ref="EKT11:EKU11"/>
    <mergeCell ref="ELJ11:ELK11"/>
    <mergeCell ref="ELZ11:EMA11"/>
    <mergeCell ref="EMP11:EMQ11"/>
    <mergeCell ref="ENF11:ENG11"/>
    <mergeCell ref="ENV11:ENW11"/>
    <mergeCell ref="EHB11:EHC11"/>
    <mergeCell ref="EHR11:EHS11"/>
    <mergeCell ref="EIH11:EII11"/>
    <mergeCell ref="EIX11:EIY11"/>
    <mergeCell ref="EJN11:EJO11"/>
    <mergeCell ref="EKD11:EKE11"/>
    <mergeCell ref="EZN11:EZO11"/>
    <mergeCell ref="FAD11:FAE11"/>
    <mergeCell ref="FAT11:FAU11"/>
    <mergeCell ref="FBJ11:FBK11"/>
    <mergeCell ref="FBZ11:FCA11"/>
    <mergeCell ref="FCP11:FCQ11"/>
    <mergeCell ref="EVV11:EVW11"/>
    <mergeCell ref="EWL11:EWM11"/>
    <mergeCell ref="EXB11:EXC11"/>
    <mergeCell ref="EXR11:EXS11"/>
    <mergeCell ref="EYH11:EYI11"/>
    <mergeCell ref="EYX11:EYY11"/>
    <mergeCell ref="ESD11:ESE11"/>
    <mergeCell ref="EST11:ESU11"/>
    <mergeCell ref="ETJ11:ETK11"/>
    <mergeCell ref="ETZ11:EUA11"/>
    <mergeCell ref="EUP11:EUQ11"/>
    <mergeCell ref="EVF11:EVG11"/>
    <mergeCell ref="FKP11:FKQ11"/>
    <mergeCell ref="FLF11:FLG11"/>
    <mergeCell ref="FLV11:FLW11"/>
    <mergeCell ref="FML11:FMM11"/>
    <mergeCell ref="FNB11:FNC11"/>
    <mergeCell ref="FNR11:FNS11"/>
    <mergeCell ref="FGX11:FGY11"/>
    <mergeCell ref="FHN11:FHO11"/>
    <mergeCell ref="FID11:FIE11"/>
    <mergeCell ref="FIT11:FIU11"/>
    <mergeCell ref="FJJ11:FJK11"/>
    <mergeCell ref="FJZ11:FKA11"/>
    <mergeCell ref="FDF11:FDG11"/>
    <mergeCell ref="FDV11:FDW11"/>
    <mergeCell ref="FEL11:FEM11"/>
    <mergeCell ref="FFB11:FFC11"/>
    <mergeCell ref="FFR11:FFS11"/>
    <mergeCell ref="FGH11:FGI11"/>
    <mergeCell ref="FVR11:FVS11"/>
    <mergeCell ref="FWH11:FWI11"/>
    <mergeCell ref="FWX11:FWY11"/>
    <mergeCell ref="FXN11:FXO11"/>
    <mergeCell ref="FYD11:FYE11"/>
    <mergeCell ref="FYT11:FYU11"/>
    <mergeCell ref="FRZ11:FSA11"/>
    <mergeCell ref="FSP11:FSQ11"/>
    <mergeCell ref="FTF11:FTG11"/>
    <mergeCell ref="FTV11:FTW11"/>
    <mergeCell ref="FUL11:FUM11"/>
    <mergeCell ref="FVB11:FVC11"/>
    <mergeCell ref="FOH11:FOI11"/>
    <mergeCell ref="FOX11:FOY11"/>
    <mergeCell ref="FPN11:FPO11"/>
    <mergeCell ref="FQD11:FQE11"/>
    <mergeCell ref="FQT11:FQU11"/>
    <mergeCell ref="FRJ11:FRK11"/>
    <mergeCell ref="GGT11:GGU11"/>
    <mergeCell ref="GHJ11:GHK11"/>
    <mergeCell ref="GHZ11:GIA11"/>
    <mergeCell ref="GIP11:GIQ11"/>
    <mergeCell ref="GJF11:GJG11"/>
    <mergeCell ref="GJV11:GJW11"/>
    <mergeCell ref="GDB11:GDC11"/>
    <mergeCell ref="GDR11:GDS11"/>
    <mergeCell ref="GEH11:GEI11"/>
    <mergeCell ref="GEX11:GEY11"/>
    <mergeCell ref="GFN11:GFO11"/>
    <mergeCell ref="GGD11:GGE11"/>
    <mergeCell ref="FZJ11:FZK11"/>
    <mergeCell ref="FZZ11:GAA11"/>
    <mergeCell ref="GAP11:GAQ11"/>
    <mergeCell ref="GBF11:GBG11"/>
    <mergeCell ref="GBV11:GBW11"/>
    <mergeCell ref="GCL11:GCM11"/>
    <mergeCell ref="GRV11:GRW11"/>
    <mergeCell ref="GSL11:GSM11"/>
    <mergeCell ref="GTB11:GTC11"/>
    <mergeCell ref="GTR11:GTS11"/>
    <mergeCell ref="GUH11:GUI11"/>
    <mergeCell ref="GUX11:GUY11"/>
    <mergeCell ref="GOD11:GOE11"/>
    <mergeCell ref="GOT11:GOU11"/>
    <mergeCell ref="GPJ11:GPK11"/>
    <mergeCell ref="GPZ11:GQA11"/>
    <mergeCell ref="GQP11:GQQ11"/>
    <mergeCell ref="GRF11:GRG11"/>
    <mergeCell ref="GKL11:GKM11"/>
    <mergeCell ref="GLB11:GLC11"/>
    <mergeCell ref="GLR11:GLS11"/>
    <mergeCell ref="GMH11:GMI11"/>
    <mergeCell ref="GMX11:GMY11"/>
    <mergeCell ref="GNN11:GNO11"/>
    <mergeCell ref="HCX11:HCY11"/>
    <mergeCell ref="HDN11:HDO11"/>
    <mergeCell ref="HED11:HEE11"/>
    <mergeCell ref="HET11:HEU11"/>
    <mergeCell ref="HFJ11:HFK11"/>
    <mergeCell ref="HFZ11:HGA11"/>
    <mergeCell ref="GZF11:GZG11"/>
    <mergeCell ref="GZV11:GZW11"/>
    <mergeCell ref="HAL11:HAM11"/>
    <mergeCell ref="HBB11:HBC11"/>
    <mergeCell ref="HBR11:HBS11"/>
    <mergeCell ref="HCH11:HCI11"/>
    <mergeCell ref="GVN11:GVO11"/>
    <mergeCell ref="GWD11:GWE11"/>
    <mergeCell ref="GWT11:GWU11"/>
    <mergeCell ref="GXJ11:GXK11"/>
    <mergeCell ref="GXZ11:GYA11"/>
    <mergeCell ref="GYP11:GYQ11"/>
    <mergeCell ref="HNZ11:HOA11"/>
    <mergeCell ref="HOP11:HOQ11"/>
    <mergeCell ref="HPF11:HPG11"/>
    <mergeCell ref="HPV11:HPW11"/>
    <mergeCell ref="HQL11:HQM11"/>
    <mergeCell ref="HRB11:HRC11"/>
    <mergeCell ref="HKH11:HKI11"/>
    <mergeCell ref="HKX11:HKY11"/>
    <mergeCell ref="HLN11:HLO11"/>
    <mergeCell ref="HMD11:HME11"/>
    <mergeCell ref="HMT11:HMU11"/>
    <mergeCell ref="HNJ11:HNK11"/>
    <mergeCell ref="HGP11:HGQ11"/>
    <mergeCell ref="HHF11:HHG11"/>
    <mergeCell ref="HHV11:HHW11"/>
    <mergeCell ref="HIL11:HIM11"/>
    <mergeCell ref="HJB11:HJC11"/>
    <mergeCell ref="HJR11:HJS11"/>
    <mergeCell ref="HZB11:HZC11"/>
    <mergeCell ref="HZR11:HZS11"/>
    <mergeCell ref="IAH11:IAI11"/>
    <mergeCell ref="IAX11:IAY11"/>
    <mergeCell ref="IBN11:IBO11"/>
    <mergeCell ref="ICD11:ICE11"/>
    <mergeCell ref="HVJ11:HVK11"/>
    <mergeCell ref="HVZ11:HWA11"/>
    <mergeCell ref="HWP11:HWQ11"/>
    <mergeCell ref="HXF11:HXG11"/>
    <mergeCell ref="HXV11:HXW11"/>
    <mergeCell ref="HYL11:HYM11"/>
    <mergeCell ref="HRR11:HRS11"/>
    <mergeCell ref="HSH11:HSI11"/>
    <mergeCell ref="HSX11:HSY11"/>
    <mergeCell ref="HTN11:HTO11"/>
    <mergeCell ref="HUD11:HUE11"/>
    <mergeCell ref="HUT11:HUU11"/>
    <mergeCell ref="IKD11:IKE11"/>
    <mergeCell ref="IKT11:IKU11"/>
    <mergeCell ref="ILJ11:ILK11"/>
    <mergeCell ref="ILZ11:IMA11"/>
    <mergeCell ref="IMP11:IMQ11"/>
    <mergeCell ref="INF11:ING11"/>
    <mergeCell ref="IGL11:IGM11"/>
    <mergeCell ref="IHB11:IHC11"/>
    <mergeCell ref="IHR11:IHS11"/>
    <mergeCell ref="IIH11:III11"/>
    <mergeCell ref="IIX11:IIY11"/>
    <mergeCell ref="IJN11:IJO11"/>
    <mergeCell ref="ICT11:ICU11"/>
    <mergeCell ref="IDJ11:IDK11"/>
    <mergeCell ref="IDZ11:IEA11"/>
    <mergeCell ref="IEP11:IEQ11"/>
    <mergeCell ref="IFF11:IFG11"/>
    <mergeCell ref="IFV11:IFW11"/>
    <mergeCell ref="IVF11:IVG11"/>
    <mergeCell ref="IVV11:IVW11"/>
    <mergeCell ref="IWL11:IWM11"/>
    <mergeCell ref="IXB11:IXC11"/>
    <mergeCell ref="IXR11:IXS11"/>
    <mergeCell ref="IYH11:IYI11"/>
    <mergeCell ref="IRN11:IRO11"/>
    <mergeCell ref="ISD11:ISE11"/>
    <mergeCell ref="IST11:ISU11"/>
    <mergeCell ref="ITJ11:ITK11"/>
    <mergeCell ref="ITZ11:IUA11"/>
    <mergeCell ref="IUP11:IUQ11"/>
    <mergeCell ref="INV11:INW11"/>
    <mergeCell ref="IOL11:IOM11"/>
    <mergeCell ref="IPB11:IPC11"/>
    <mergeCell ref="IPR11:IPS11"/>
    <mergeCell ref="IQH11:IQI11"/>
    <mergeCell ref="IQX11:IQY11"/>
    <mergeCell ref="JGH11:JGI11"/>
    <mergeCell ref="JGX11:JGY11"/>
    <mergeCell ref="JHN11:JHO11"/>
    <mergeCell ref="JID11:JIE11"/>
    <mergeCell ref="JIT11:JIU11"/>
    <mergeCell ref="JJJ11:JJK11"/>
    <mergeCell ref="JCP11:JCQ11"/>
    <mergeCell ref="JDF11:JDG11"/>
    <mergeCell ref="JDV11:JDW11"/>
    <mergeCell ref="JEL11:JEM11"/>
    <mergeCell ref="JFB11:JFC11"/>
    <mergeCell ref="JFR11:JFS11"/>
    <mergeCell ref="IYX11:IYY11"/>
    <mergeCell ref="IZN11:IZO11"/>
    <mergeCell ref="JAD11:JAE11"/>
    <mergeCell ref="JAT11:JAU11"/>
    <mergeCell ref="JBJ11:JBK11"/>
    <mergeCell ref="JBZ11:JCA11"/>
    <mergeCell ref="JRJ11:JRK11"/>
    <mergeCell ref="JRZ11:JSA11"/>
    <mergeCell ref="JSP11:JSQ11"/>
    <mergeCell ref="JTF11:JTG11"/>
    <mergeCell ref="JTV11:JTW11"/>
    <mergeCell ref="JUL11:JUM11"/>
    <mergeCell ref="JNR11:JNS11"/>
    <mergeCell ref="JOH11:JOI11"/>
    <mergeCell ref="JOX11:JOY11"/>
    <mergeCell ref="JPN11:JPO11"/>
    <mergeCell ref="JQD11:JQE11"/>
    <mergeCell ref="JQT11:JQU11"/>
    <mergeCell ref="JJZ11:JKA11"/>
    <mergeCell ref="JKP11:JKQ11"/>
    <mergeCell ref="JLF11:JLG11"/>
    <mergeCell ref="JLV11:JLW11"/>
    <mergeCell ref="JML11:JMM11"/>
    <mergeCell ref="JNB11:JNC11"/>
    <mergeCell ref="KCL11:KCM11"/>
    <mergeCell ref="KDB11:KDC11"/>
    <mergeCell ref="KDR11:KDS11"/>
    <mergeCell ref="KEH11:KEI11"/>
    <mergeCell ref="KEX11:KEY11"/>
    <mergeCell ref="KFN11:KFO11"/>
    <mergeCell ref="JYT11:JYU11"/>
    <mergeCell ref="JZJ11:JZK11"/>
    <mergeCell ref="JZZ11:KAA11"/>
    <mergeCell ref="KAP11:KAQ11"/>
    <mergeCell ref="KBF11:KBG11"/>
    <mergeCell ref="KBV11:KBW11"/>
    <mergeCell ref="JVB11:JVC11"/>
    <mergeCell ref="JVR11:JVS11"/>
    <mergeCell ref="JWH11:JWI11"/>
    <mergeCell ref="JWX11:JWY11"/>
    <mergeCell ref="JXN11:JXO11"/>
    <mergeCell ref="JYD11:JYE11"/>
    <mergeCell ref="KNN11:KNO11"/>
    <mergeCell ref="KOD11:KOE11"/>
    <mergeCell ref="KOT11:KOU11"/>
    <mergeCell ref="KPJ11:KPK11"/>
    <mergeCell ref="KPZ11:KQA11"/>
    <mergeCell ref="KQP11:KQQ11"/>
    <mergeCell ref="KJV11:KJW11"/>
    <mergeCell ref="KKL11:KKM11"/>
    <mergeCell ref="KLB11:KLC11"/>
    <mergeCell ref="KLR11:KLS11"/>
    <mergeCell ref="KMH11:KMI11"/>
    <mergeCell ref="KMX11:KMY11"/>
    <mergeCell ref="KGD11:KGE11"/>
    <mergeCell ref="KGT11:KGU11"/>
    <mergeCell ref="KHJ11:KHK11"/>
    <mergeCell ref="KHZ11:KIA11"/>
    <mergeCell ref="KIP11:KIQ11"/>
    <mergeCell ref="KJF11:KJG11"/>
    <mergeCell ref="KYP11:KYQ11"/>
    <mergeCell ref="KZF11:KZG11"/>
    <mergeCell ref="KZV11:KZW11"/>
    <mergeCell ref="LAL11:LAM11"/>
    <mergeCell ref="LBB11:LBC11"/>
    <mergeCell ref="LBR11:LBS11"/>
    <mergeCell ref="KUX11:KUY11"/>
    <mergeCell ref="KVN11:KVO11"/>
    <mergeCell ref="KWD11:KWE11"/>
    <mergeCell ref="KWT11:KWU11"/>
    <mergeCell ref="KXJ11:KXK11"/>
    <mergeCell ref="KXZ11:KYA11"/>
    <mergeCell ref="KRF11:KRG11"/>
    <mergeCell ref="KRV11:KRW11"/>
    <mergeCell ref="KSL11:KSM11"/>
    <mergeCell ref="KTB11:KTC11"/>
    <mergeCell ref="KTR11:KTS11"/>
    <mergeCell ref="KUH11:KUI11"/>
    <mergeCell ref="LJR11:LJS11"/>
    <mergeCell ref="LKH11:LKI11"/>
    <mergeCell ref="LKX11:LKY11"/>
    <mergeCell ref="LLN11:LLO11"/>
    <mergeCell ref="LMD11:LME11"/>
    <mergeCell ref="LMT11:LMU11"/>
    <mergeCell ref="LFZ11:LGA11"/>
    <mergeCell ref="LGP11:LGQ11"/>
    <mergeCell ref="LHF11:LHG11"/>
    <mergeCell ref="LHV11:LHW11"/>
    <mergeCell ref="LIL11:LIM11"/>
    <mergeCell ref="LJB11:LJC11"/>
    <mergeCell ref="LCH11:LCI11"/>
    <mergeCell ref="LCX11:LCY11"/>
    <mergeCell ref="LDN11:LDO11"/>
    <mergeCell ref="LED11:LEE11"/>
    <mergeCell ref="LET11:LEU11"/>
    <mergeCell ref="LFJ11:LFK11"/>
    <mergeCell ref="LUT11:LUU11"/>
    <mergeCell ref="LVJ11:LVK11"/>
    <mergeCell ref="LVZ11:LWA11"/>
    <mergeCell ref="LWP11:LWQ11"/>
    <mergeCell ref="LXF11:LXG11"/>
    <mergeCell ref="LXV11:LXW11"/>
    <mergeCell ref="LRB11:LRC11"/>
    <mergeCell ref="LRR11:LRS11"/>
    <mergeCell ref="LSH11:LSI11"/>
    <mergeCell ref="LSX11:LSY11"/>
    <mergeCell ref="LTN11:LTO11"/>
    <mergeCell ref="LUD11:LUE11"/>
    <mergeCell ref="LNJ11:LNK11"/>
    <mergeCell ref="LNZ11:LOA11"/>
    <mergeCell ref="LOP11:LOQ11"/>
    <mergeCell ref="LPF11:LPG11"/>
    <mergeCell ref="LPV11:LPW11"/>
    <mergeCell ref="LQL11:LQM11"/>
    <mergeCell ref="MFV11:MFW11"/>
    <mergeCell ref="MGL11:MGM11"/>
    <mergeCell ref="MHB11:MHC11"/>
    <mergeCell ref="MHR11:MHS11"/>
    <mergeCell ref="MIH11:MII11"/>
    <mergeCell ref="MIX11:MIY11"/>
    <mergeCell ref="MCD11:MCE11"/>
    <mergeCell ref="MCT11:MCU11"/>
    <mergeCell ref="MDJ11:MDK11"/>
    <mergeCell ref="MDZ11:MEA11"/>
    <mergeCell ref="MEP11:MEQ11"/>
    <mergeCell ref="MFF11:MFG11"/>
    <mergeCell ref="LYL11:LYM11"/>
    <mergeCell ref="LZB11:LZC11"/>
    <mergeCell ref="LZR11:LZS11"/>
    <mergeCell ref="MAH11:MAI11"/>
    <mergeCell ref="MAX11:MAY11"/>
    <mergeCell ref="MBN11:MBO11"/>
    <mergeCell ref="MQX11:MQY11"/>
    <mergeCell ref="MRN11:MRO11"/>
    <mergeCell ref="MSD11:MSE11"/>
    <mergeCell ref="MST11:MSU11"/>
    <mergeCell ref="MTJ11:MTK11"/>
    <mergeCell ref="MTZ11:MUA11"/>
    <mergeCell ref="MNF11:MNG11"/>
    <mergeCell ref="MNV11:MNW11"/>
    <mergeCell ref="MOL11:MOM11"/>
    <mergeCell ref="MPB11:MPC11"/>
    <mergeCell ref="MPR11:MPS11"/>
    <mergeCell ref="MQH11:MQI11"/>
    <mergeCell ref="MJN11:MJO11"/>
    <mergeCell ref="MKD11:MKE11"/>
    <mergeCell ref="MKT11:MKU11"/>
    <mergeCell ref="MLJ11:MLK11"/>
    <mergeCell ref="MLZ11:MMA11"/>
    <mergeCell ref="MMP11:MMQ11"/>
    <mergeCell ref="NBZ11:NCA11"/>
    <mergeCell ref="NCP11:NCQ11"/>
    <mergeCell ref="NDF11:NDG11"/>
    <mergeCell ref="NDV11:NDW11"/>
    <mergeCell ref="NEL11:NEM11"/>
    <mergeCell ref="NFB11:NFC11"/>
    <mergeCell ref="MYH11:MYI11"/>
    <mergeCell ref="MYX11:MYY11"/>
    <mergeCell ref="MZN11:MZO11"/>
    <mergeCell ref="NAD11:NAE11"/>
    <mergeCell ref="NAT11:NAU11"/>
    <mergeCell ref="NBJ11:NBK11"/>
    <mergeCell ref="MUP11:MUQ11"/>
    <mergeCell ref="MVF11:MVG11"/>
    <mergeCell ref="MVV11:MVW11"/>
    <mergeCell ref="MWL11:MWM11"/>
    <mergeCell ref="MXB11:MXC11"/>
    <mergeCell ref="MXR11:MXS11"/>
    <mergeCell ref="NNB11:NNC11"/>
    <mergeCell ref="NNR11:NNS11"/>
    <mergeCell ref="NOH11:NOI11"/>
    <mergeCell ref="NOX11:NOY11"/>
    <mergeCell ref="NPN11:NPO11"/>
    <mergeCell ref="NQD11:NQE11"/>
    <mergeCell ref="NJJ11:NJK11"/>
    <mergeCell ref="NJZ11:NKA11"/>
    <mergeCell ref="NKP11:NKQ11"/>
    <mergeCell ref="NLF11:NLG11"/>
    <mergeCell ref="NLV11:NLW11"/>
    <mergeCell ref="NML11:NMM11"/>
    <mergeCell ref="NFR11:NFS11"/>
    <mergeCell ref="NGH11:NGI11"/>
    <mergeCell ref="NGX11:NGY11"/>
    <mergeCell ref="NHN11:NHO11"/>
    <mergeCell ref="NID11:NIE11"/>
    <mergeCell ref="NIT11:NIU11"/>
    <mergeCell ref="NYD11:NYE11"/>
    <mergeCell ref="NYT11:NYU11"/>
    <mergeCell ref="NZJ11:NZK11"/>
    <mergeCell ref="NZZ11:OAA11"/>
    <mergeCell ref="OAP11:OAQ11"/>
    <mergeCell ref="OBF11:OBG11"/>
    <mergeCell ref="NUL11:NUM11"/>
    <mergeCell ref="NVB11:NVC11"/>
    <mergeCell ref="NVR11:NVS11"/>
    <mergeCell ref="NWH11:NWI11"/>
    <mergeCell ref="NWX11:NWY11"/>
    <mergeCell ref="NXN11:NXO11"/>
    <mergeCell ref="NQT11:NQU11"/>
    <mergeCell ref="NRJ11:NRK11"/>
    <mergeCell ref="NRZ11:NSA11"/>
    <mergeCell ref="NSP11:NSQ11"/>
    <mergeCell ref="NTF11:NTG11"/>
    <mergeCell ref="NTV11:NTW11"/>
    <mergeCell ref="OJF11:OJG11"/>
    <mergeCell ref="OJV11:OJW11"/>
    <mergeCell ref="OKL11:OKM11"/>
    <mergeCell ref="OLB11:OLC11"/>
    <mergeCell ref="OLR11:OLS11"/>
    <mergeCell ref="OMH11:OMI11"/>
    <mergeCell ref="OFN11:OFO11"/>
    <mergeCell ref="OGD11:OGE11"/>
    <mergeCell ref="OGT11:OGU11"/>
    <mergeCell ref="OHJ11:OHK11"/>
    <mergeCell ref="OHZ11:OIA11"/>
    <mergeCell ref="OIP11:OIQ11"/>
    <mergeCell ref="OBV11:OBW11"/>
    <mergeCell ref="OCL11:OCM11"/>
    <mergeCell ref="ODB11:ODC11"/>
    <mergeCell ref="ODR11:ODS11"/>
    <mergeCell ref="OEH11:OEI11"/>
    <mergeCell ref="OEX11:OEY11"/>
    <mergeCell ref="OUH11:OUI11"/>
    <mergeCell ref="OUX11:OUY11"/>
    <mergeCell ref="OVN11:OVO11"/>
    <mergeCell ref="OWD11:OWE11"/>
    <mergeCell ref="OWT11:OWU11"/>
    <mergeCell ref="OXJ11:OXK11"/>
    <mergeCell ref="OQP11:OQQ11"/>
    <mergeCell ref="ORF11:ORG11"/>
    <mergeCell ref="ORV11:ORW11"/>
    <mergeCell ref="OSL11:OSM11"/>
    <mergeCell ref="OTB11:OTC11"/>
    <mergeCell ref="OTR11:OTS11"/>
    <mergeCell ref="OMX11:OMY11"/>
    <mergeCell ref="ONN11:ONO11"/>
    <mergeCell ref="OOD11:OOE11"/>
    <mergeCell ref="OOT11:OOU11"/>
    <mergeCell ref="OPJ11:OPK11"/>
    <mergeCell ref="OPZ11:OQA11"/>
    <mergeCell ref="PFJ11:PFK11"/>
    <mergeCell ref="PFZ11:PGA11"/>
    <mergeCell ref="PGP11:PGQ11"/>
    <mergeCell ref="PHF11:PHG11"/>
    <mergeCell ref="PHV11:PHW11"/>
    <mergeCell ref="PIL11:PIM11"/>
    <mergeCell ref="PBR11:PBS11"/>
    <mergeCell ref="PCH11:PCI11"/>
    <mergeCell ref="PCX11:PCY11"/>
    <mergeCell ref="PDN11:PDO11"/>
    <mergeCell ref="PED11:PEE11"/>
    <mergeCell ref="PET11:PEU11"/>
    <mergeCell ref="OXZ11:OYA11"/>
    <mergeCell ref="OYP11:OYQ11"/>
    <mergeCell ref="OZF11:OZG11"/>
    <mergeCell ref="OZV11:OZW11"/>
    <mergeCell ref="PAL11:PAM11"/>
    <mergeCell ref="PBB11:PBC11"/>
    <mergeCell ref="PQL11:PQM11"/>
    <mergeCell ref="PRB11:PRC11"/>
    <mergeCell ref="PRR11:PRS11"/>
    <mergeCell ref="PSH11:PSI11"/>
    <mergeCell ref="PSX11:PSY11"/>
    <mergeCell ref="PTN11:PTO11"/>
    <mergeCell ref="PMT11:PMU11"/>
    <mergeCell ref="PNJ11:PNK11"/>
    <mergeCell ref="PNZ11:POA11"/>
    <mergeCell ref="POP11:POQ11"/>
    <mergeCell ref="PPF11:PPG11"/>
    <mergeCell ref="PPV11:PPW11"/>
    <mergeCell ref="PJB11:PJC11"/>
    <mergeCell ref="PJR11:PJS11"/>
    <mergeCell ref="PKH11:PKI11"/>
    <mergeCell ref="PKX11:PKY11"/>
    <mergeCell ref="PLN11:PLO11"/>
    <mergeCell ref="PMD11:PME11"/>
    <mergeCell ref="QBN11:QBO11"/>
    <mergeCell ref="QCD11:QCE11"/>
    <mergeCell ref="QCT11:QCU11"/>
    <mergeCell ref="QDJ11:QDK11"/>
    <mergeCell ref="QDZ11:QEA11"/>
    <mergeCell ref="QEP11:QEQ11"/>
    <mergeCell ref="PXV11:PXW11"/>
    <mergeCell ref="PYL11:PYM11"/>
    <mergeCell ref="PZB11:PZC11"/>
    <mergeCell ref="PZR11:PZS11"/>
    <mergeCell ref="QAH11:QAI11"/>
    <mergeCell ref="QAX11:QAY11"/>
    <mergeCell ref="PUD11:PUE11"/>
    <mergeCell ref="PUT11:PUU11"/>
    <mergeCell ref="PVJ11:PVK11"/>
    <mergeCell ref="PVZ11:PWA11"/>
    <mergeCell ref="PWP11:PWQ11"/>
    <mergeCell ref="PXF11:PXG11"/>
    <mergeCell ref="QMP11:QMQ11"/>
    <mergeCell ref="QNF11:QNG11"/>
    <mergeCell ref="QNV11:QNW11"/>
    <mergeCell ref="QOL11:QOM11"/>
    <mergeCell ref="QPB11:QPC11"/>
    <mergeCell ref="QPR11:QPS11"/>
    <mergeCell ref="QIX11:QIY11"/>
    <mergeCell ref="QJN11:QJO11"/>
    <mergeCell ref="QKD11:QKE11"/>
    <mergeCell ref="QKT11:QKU11"/>
    <mergeCell ref="QLJ11:QLK11"/>
    <mergeCell ref="QLZ11:QMA11"/>
    <mergeCell ref="QFF11:QFG11"/>
    <mergeCell ref="QFV11:QFW11"/>
    <mergeCell ref="QGL11:QGM11"/>
    <mergeCell ref="QHB11:QHC11"/>
    <mergeCell ref="QHR11:QHS11"/>
    <mergeCell ref="QIH11:QII11"/>
    <mergeCell ref="QXR11:QXS11"/>
    <mergeCell ref="QYH11:QYI11"/>
    <mergeCell ref="QYX11:QYY11"/>
    <mergeCell ref="QZN11:QZO11"/>
    <mergeCell ref="RAD11:RAE11"/>
    <mergeCell ref="RAT11:RAU11"/>
    <mergeCell ref="QTZ11:QUA11"/>
    <mergeCell ref="QUP11:QUQ11"/>
    <mergeCell ref="QVF11:QVG11"/>
    <mergeCell ref="QVV11:QVW11"/>
    <mergeCell ref="QWL11:QWM11"/>
    <mergeCell ref="QXB11:QXC11"/>
    <mergeCell ref="QQH11:QQI11"/>
    <mergeCell ref="QQX11:QQY11"/>
    <mergeCell ref="QRN11:QRO11"/>
    <mergeCell ref="QSD11:QSE11"/>
    <mergeCell ref="QST11:QSU11"/>
    <mergeCell ref="QTJ11:QTK11"/>
    <mergeCell ref="RIT11:RIU11"/>
    <mergeCell ref="RJJ11:RJK11"/>
    <mergeCell ref="RJZ11:RKA11"/>
    <mergeCell ref="RKP11:RKQ11"/>
    <mergeCell ref="RLF11:RLG11"/>
    <mergeCell ref="RLV11:RLW11"/>
    <mergeCell ref="RFB11:RFC11"/>
    <mergeCell ref="RFR11:RFS11"/>
    <mergeCell ref="RGH11:RGI11"/>
    <mergeCell ref="RGX11:RGY11"/>
    <mergeCell ref="RHN11:RHO11"/>
    <mergeCell ref="RID11:RIE11"/>
    <mergeCell ref="RBJ11:RBK11"/>
    <mergeCell ref="RBZ11:RCA11"/>
    <mergeCell ref="RCP11:RCQ11"/>
    <mergeCell ref="RDF11:RDG11"/>
    <mergeCell ref="RDV11:RDW11"/>
    <mergeCell ref="REL11:REM11"/>
    <mergeCell ref="RTV11:RTW11"/>
    <mergeCell ref="RUL11:RUM11"/>
    <mergeCell ref="RVB11:RVC11"/>
    <mergeCell ref="RVR11:RVS11"/>
    <mergeCell ref="RWH11:RWI11"/>
    <mergeCell ref="RWX11:RWY11"/>
    <mergeCell ref="RQD11:RQE11"/>
    <mergeCell ref="RQT11:RQU11"/>
    <mergeCell ref="RRJ11:RRK11"/>
    <mergeCell ref="RRZ11:RSA11"/>
    <mergeCell ref="RSP11:RSQ11"/>
    <mergeCell ref="RTF11:RTG11"/>
    <mergeCell ref="RML11:RMM11"/>
    <mergeCell ref="RNB11:RNC11"/>
    <mergeCell ref="RNR11:RNS11"/>
    <mergeCell ref="ROH11:ROI11"/>
    <mergeCell ref="ROX11:ROY11"/>
    <mergeCell ref="RPN11:RPO11"/>
    <mergeCell ref="SEX11:SEY11"/>
    <mergeCell ref="SFN11:SFO11"/>
    <mergeCell ref="SGD11:SGE11"/>
    <mergeCell ref="SGT11:SGU11"/>
    <mergeCell ref="SHJ11:SHK11"/>
    <mergeCell ref="SHZ11:SIA11"/>
    <mergeCell ref="SBF11:SBG11"/>
    <mergeCell ref="SBV11:SBW11"/>
    <mergeCell ref="SCL11:SCM11"/>
    <mergeCell ref="SDB11:SDC11"/>
    <mergeCell ref="SDR11:SDS11"/>
    <mergeCell ref="SEH11:SEI11"/>
    <mergeCell ref="RXN11:RXO11"/>
    <mergeCell ref="RYD11:RYE11"/>
    <mergeCell ref="RYT11:RYU11"/>
    <mergeCell ref="RZJ11:RZK11"/>
    <mergeCell ref="RZZ11:SAA11"/>
    <mergeCell ref="SAP11:SAQ11"/>
    <mergeCell ref="SPZ11:SQA11"/>
    <mergeCell ref="SQP11:SQQ11"/>
    <mergeCell ref="SRF11:SRG11"/>
    <mergeCell ref="SRV11:SRW11"/>
    <mergeCell ref="SSL11:SSM11"/>
    <mergeCell ref="STB11:STC11"/>
    <mergeCell ref="SMH11:SMI11"/>
    <mergeCell ref="SMX11:SMY11"/>
    <mergeCell ref="SNN11:SNO11"/>
    <mergeCell ref="SOD11:SOE11"/>
    <mergeCell ref="SOT11:SOU11"/>
    <mergeCell ref="SPJ11:SPK11"/>
    <mergeCell ref="SIP11:SIQ11"/>
    <mergeCell ref="SJF11:SJG11"/>
    <mergeCell ref="SJV11:SJW11"/>
    <mergeCell ref="SKL11:SKM11"/>
    <mergeCell ref="SLB11:SLC11"/>
    <mergeCell ref="SLR11:SLS11"/>
    <mergeCell ref="TBB11:TBC11"/>
    <mergeCell ref="TBR11:TBS11"/>
    <mergeCell ref="TCH11:TCI11"/>
    <mergeCell ref="TCX11:TCY11"/>
    <mergeCell ref="TDN11:TDO11"/>
    <mergeCell ref="TED11:TEE11"/>
    <mergeCell ref="SXJ11:SXK11"/>
    <mergeCell ref="SXZ11:SYA11"/>
    <mergeCell ref="SYP11:SYQ11"/>
    <mergeCell ref="SZF11:SZG11"/>
    <mergeCell ref="SZV11:SZW11"/>
    <mergeCell ref="TAL11:TAM11"/>
    <mergeCell ref="STR11:STS11"/>
    <mergeCell ref="SUH11:SUI11"/>
    <mergeCell ref="SUX11:SUY11"/>
    <mergeCell ref="SVN11:SVO11"/>
    <mergeCell ref="SWD11:SWE11"/>
    <mergeCell ref="SWT11:SWU11"/>
    <mergeCell ref="TMD11:TME11"/>
    <mergeCell ref="TMT11:TMU11"/>
    <mergeCell ref="TNJ11:TNK11"/>
    <mergeCell ref="TNZ11:TOA11"/>
    <mergeCell ref="TOP11:TOQ11"/>
    <mergeCell ref="TPF11:TPG11"/>
    <mergeCell ref="TIL11:TIM11"/>
    <mergeCell ref="TJB11:TJC11"/>
    <mergeCell ref="TJR11:TJS11"/>
    <mergeCell ref="TKH11:TKI11"/>
    <mergeCell ref="TKX11:TKY11"/>
    <mergeCell ref="TLN11:TLO11"/>
    <mergeCell ref="TET11:TEU11"/>
    <mergeCell ref="TFJ11:TFK11"/>
    <mergeCell ref="TFZ11:TGA11"/>
    <mergeCell ref="TGP11:TGQ11"/>
    <mergeCell ref="THF11:THG11"/>
    <mergeCell ref="THV11:THW11"/>
    <mergeCell ref="TXF11:TXG11"/>
    <mergeCell ref="TXV11:TXW11"/>
    <mergeCell ref="TYL11:TYM11"/>
    <mergeCell ref="TZB11:TZC11"/>
    <mergeCell ref="TZR11:TZS11"/>
    <mergeCell ref="UAH11:UAI11"/>
    <mergeCell ref="TTN11:TTO11"/>
    <mergeCell ref="TUD11:TUE11"/>
    <mergeCell ref="TUT11:TUU11"/>
    <mergeCell ref="TVJ11:TVK11"/>
    <mergeCell ref="TVZ11:TWA11"/>
    <mergeCell ref="TWP11:TWQ11"/>
    <mergeCell ref="TPV11:TPW11"/>
    <mergeCell ref="TQL11:TQM11"/>
    <mergeCell ref="TRB11:TRC11"/>
    <mergeCell ref="TRR11:TRS11"/>
    <mergeCell ref="TSH11:TSI11"/>
    <mergeCell ref="TSX11:TSY11"/>
    <mergeCell ref="UIH11:UII11"/>
    <mergeCell ref="UIX11:UIY11"/>
    <mergeCell ref="UJN11:UJO11"/>
    <mergeCell ref="UKD11:UKE11"/>
    <mergeCell ref="UKT11:UKU11"/>
    <mergeCell ref="ULJ11:ULK11"/>
    <mergeCell ref="UEP11:UEQ11"/>
    <mergeCell ref="UFF11:UFG11"/>
    <mergeCell ref="UFV11:UFW11"/>
    <mergeCell ref="UGL11:UGM11"/>
    <mergeCell ref="UHB11:UHC11"/>
    <mergeCell ref="UHR11:UHS11"/>
    <mergeCell ref="UAX11:UAY11"/>
    <mergeCell ref="UBN11:UBO11"/>
    <mergeCell ref="UCD11:UCE11"/>
    <mergeCell ref="UCT11:UCU11"/>
    <mergeCell ref="UDJ11:UDK11"/>
    <mergeCell ref="UDZ11:UEA11"/>
    <mergeCell ref="UTJ11:UTK11"/>
    <mergeCell ref="UTZ11:UUA11"/>
    <mergeCell ref="UUP11:UUQ11"/>
    <mergeCell ref="UVF11:UVG11"/>
    <mergeCell ref="UVV11:UVW11"/>
    <mergeCell ref="UWL11:UWM11"/>
    <mergeCell ref="UPR11:UPS11"/>
    <mergeCell ref="UQH11:UQI11"/>
    <mergeCell ref="UQX11:UQY11"/>
    <mergeCell ref="URN11:URO11"/>
    <mergeCell ref="USD11:USE11"/>
    <mergeCell ref="UST11:USU11"/>
    <mergeCell ref="ULZ11:UMA11"/>
    <mergeCell ref="UMP11:UMQ11"/>
    <mergeCell ref="UNF11:UNG11"/>
    <mergeCell ref="UNV11:UNW11"/>
    <mergeCell ref="UOL11:UOM11"/>
    <mergeCell ref="UPB11:UPC11"/>
    <mergeCell ref="VEL11:VEM11"/>
    <mergeCell ref="VFB11:VFC11"/>
    <mergeCell ref="VFR11:VFS11"/>
    <mergeCell ref="VGH11:VGI11"/>
    <mergeCell ref="VGX11:VGY11"/>
    <mergeCell ref="VHN11:VHO11"/>
    <mergeCell ref="VAT11:VAU11"/>
    <mergeCell ref="VBJ11:VBK11"/>
    <mergeCell ref="VBZ11:VCA11"/>
    <mergeCell ref="VCP11:VCQ11"/>
    <mergeCell ref="VDF11:VDG11"/>
    <mergeCell ref="VDV11:VDW11"/>
    <mergeCell ref="UXB11:UXC11"/>
    <mergeCell ref="UXR11:UXS11"/>
    <mergeCell ref="UYH11:UYI11"/>
    <mergeCell ref="UYX11:UYY11"/>
    <mergeCell ref="UZN11:UZO11"/>
    <mergeCell ref="VAD11:VAE11"/>
    <mergeCell ref="VPN11:VPO11"/>
    <mergeCell ref="VQD11:VQE11"/>
    <mergeCell ref="VQT11:VQU11"/>
    <mergeCell ref="VRJ11:VRK11"/>
    <mergeCell ref="VRZ11:VSA11"/>
    <mergeCell ref="VSP11:VSQ11"/>
    <mergeCell ref="VLV11:VLW11"/>
    <mergeCell ref="VML11:VMM11"/>
    <mergeCell ref="VNB11:VNC11"/>
    <mergeCell ref="VNR11:VNS11"/>
    <mergeCell ref="VOH11:VOI11"/>
    <mergeCell ref="VOX11:VOY11"/>
    <mergeCell ref="VID11:VIE11"/>
    <mergeCell ref="VIT11:VIU11"/>
    <mergeCell ref="VJJ11:VJK11"/>
    <mergeCell ref="VJZ11:VKA11"/>
    <mergeCell ref="VKP11:VKQ11"/>
    <mergeCell ref="VLF11:VLG11"/>
    <mergeCell ref="WAP11:WAQ11"/>
    <mergeCell ref="WBF11:WBG11"/>
    <mergeCell ref="WBV11:WBW11"/>
    <mergeCell ref="WCL11:WCM11"/>
    <mergeCell ref="WDB11:WDC11"/>
    <mergeCell ref="WDR11:WDS11"/>
    <mergeCell ref="VWX11:VWY11"/>
    <mergeCell ref="VXN11:VXO11"/>
    <mergeCell ref="VYD11:VYE11"/>
    <mergeCell ref="VYT11:VYU11"/>
    <mergeCell ref="VZJ11:VZK11"/>
    <mergeCell ref="VZZ11:WAA11"/>
    <mergeCell ref="VTF11:VTG11"/>
    <mergeCell ref="VTV11:VTW11"/>
    <mergeCell ref="VUL11:VUM11"/>
    <mergeCell ref="VVB11:VVC11"/>
    <mergeCell ref="VVR11:VVS11"/>
    <mergeCell ref="VWH11:VWI11"/>
    <mergeCell ref="WRV11:WRW11"/>
    <mergeCell ref="WSL11:WSM11"/>
    <mergeCell ref="WLR11:WLS11"/>
    <mergeCell ref="WMH11:WMI11"/>
    <mergeCell ref="WMX11:WMY11"/>
    <mergeCell ref="WNN11:WNO11"/>
    <mergeCell ref="WOD11:WOE11"/>
    <mergeCell ref="WOT11:WOU11"/>
    <mergeCell ref="WHZ11:WIA11"/>
    <mergeCell ref="WIP11:WIQ11"/>
    <mergeCell ref="WJF11:WJG11"/>
    <mergeCell ref="WJV11:WJW11"/>
    <mergeCell ref="WKL11:WKM11"/>
    <mergeCell ref="WLB11:WLC11"/>
    <mergeCell ref="WEH11:WEI11"/>
    <mergeCell ref="WEX11:WEY11"/>
    <mergeCell ref="WFN11:WFO11"/>
    <mergeCell ref="WGD11:WGE11"/>
    <mergeCell ref="WGT11:WGU11"/>
    <mergeCell ref="WHJ11:WHK11"/>
    <mergeCell ref="XED11:XEE11"/>
    <mergeCell ref="XET11:XEU11"/>
    <mergeCell ref="F12:G12"/>
    <mergeCell ref="V12:W12"/>
    <mergeCell ref="AL12:AM12"/>
    <mergeCell ref="BB12:BC12"/>
    <mergeCell ref="BR12:BS12"/>
    <mergeCell ref="CH12:CI12"/>
    <mergeCell ref="CX12:CY12"/>
    <mergeCell ref="DN12:DO12"/>
    <mergeCell ref="XAL11:XAM11"/>
    <mergeCell ref="XBB11:XBC11"/>
    <mergeCell ref="XBR11:XBS11"/>
    <mergeCell ref="XCH11:XCI11"/>
    <mergeCell ref="XCX11:XCY11"/>
    <mergeCell ref="XDN11:XDO11"/>
    <mergeCell ref="WWT11:WWU11"/>
    <mergeCell ref="WXJ11:WXK11"/>
    <mergeCell ref="WXZ11:WYA11"/>
    <mergeCell ref="WYP11:WYQ11"/>
    <mergeCell ref="WZF11:WZG11"/>
    <mergeCell ref="WZV11:WZW11"/>
    <mergeCell ref="WTB11:WTC11"/>
    <mergeCell ref="WTR11:WTS11"/>
    <mergeCell ref="WUH11:WUI11"/>
    <mergeCell ref="WUX11:WUY11"/>
    <mergeCell ref="WVN11:WVO11"/>
    <mergeCell ref="WWD11:WWE11"/>
    <mergeCell ref="WPJ11:WPK11"/>
    <mergeCell ref="WPZ11:WQA11"/>
    <mergeCell ref="WQP11:WQQ11"/>
    <mergeCell ref="WRF11:WRG11"/>
    <mergeCell ref="LN12:LO12"/>
    <mergeCell ref="MD12:ME12"/>
    <mergeCell ref="MT12:MU12"/>
    <mergeCell ref="NJ12:NK12"/>
    <mergeCell ref="NZ12:OA12"/>
    <mergeCell ref="OP12:OQ12"/>
    <mergeCell ref="HV12:HW12"/>
    <mergeCell ref="IL12:IM12"/>
    <mergeCell ref="JB12:JC12"/>
    <mergeCell ref="JR12:JS12"/>
    <mergeCell ref="KH12:KI12"/>
    <mergeCell ref="KX12:KY12"/>
    <mergeCell ref="ED12:EE12"/>
    <mergeCell ref="ET12:EU12"/>
    <mergeCell ref="FJ12:FK12"/>
    <mergeCell ref="FZ12:GA12"/>
    <mergeCell ref="GP12:GQ12"/>
    <mergeCell ref="HF12:HG12"/>
    <mergeCell ref="WP12:WQ12"/>
    <mergeCell ref="XF12:XG12"/>
    <mergeCell ref="XV12:XW12"/>
    <mergeCell ref="YL12:YM12"/>
    <mergeCell ref="ZB12:ZC12"/>
    <mergeCell ref="ZR12:ZS12"/>
    <mergeCell ref="SX12:SY12"/>
    <mergeCell ref="TN12:TO12"/>
    <mergeCell ref="UD12:UE12"/>
    <mergeCell ref="UT12:UU12"/>
    <mergeCell ref="VJ12:VK12"/>
    <mergeCell ref="VZ12:WA12"/>
    <mergeCell ref="PF12:PG12"/>
    <mergeCell ref="PV12:PW12"/>
    <mergeCell ref="QL12:QM12"/>
    <mergeCell ref="RB12:RC12"/>
    <mergeCell ref="RR12:RS12"/>
    <mergeCell ref="SH12:SI12"/>
    <mergeCell ref="AHR12:AHS12"/>
    <mergeCell ref="AIH12:AII12"/>
    <mergeCell ref="AIX12:AIY12"/>
    <mergeCell ref="AJN12:AJO12"/>
    <mergeCell ref="AKD12:AKE12"/>
    <mergeCell ref="AKT12:AKU12"/>
    <mergeCell ref="ADZ12:AEA12"/>
    <mergeCell ref="AEP12:AEQ12"/>
    <mergeCell ref="AFF12:AFG12"/>
    <mergeCell ref="AFV12:AFW12"/>
    <mergeCell ref="AGL12:AGM12"/>
    <mergeCell ref="AHB12:AHC12"/>
    <mergeCell ref="AAH12:AAI12"/>
    <mergeCell ref="AAX12:AAY12"/>
    <mergeCell ref="ABN12:ABO12"/>
    <mergeCell ref="ACD12:ACE12"/>
    <mergeCell ref="ACT12:ACU12"/>
    <mergeCell ref="ADJ12:ADK12"/>
    <mergeCell ref="AST12:ASU12"/>
    <mergeCell ref="ATJ12:ATK12"/>
    <mergeCell ref="ATZ12:AUA12"/>
    <mergeCell ref="AUP12:AUQ12"/>
    <mergeCell ref="AVF12:AVG12"/>
    <mergeCell ref="AVV12:AVW12"/>
    <mergeCell ref="APB12:APC12"/>
    <mergeCell ref="APR12:APS12"/>
    <mergeCell ref="AQH12:AQI12"/>
    <mergeCell ref="AQX12:AQY12"/>
    <mergeCell ref="ARN12:ARO12"/>
    <mergeCell ref="ASD12:ASE12"/>
    <mergeCell ref="ALJ12:ALK12"/>
    <mergeCell ref="ALZ12:AMA12"/>
    <mergeCell ref="AMP12:AMQ12"/>
    <mergeCell ref="ANF12:ANG12"/>
    <mergeCell ref="ANV12:ANW12"/>
    <mergeCell ref="AOL12:AOM12"/>
    <mergeCell ref="BDV12:BDW12"/>
    <mergeCell ref="BEL12:BEM12"/>
    <mergeCell ref="BFB12:BFC12"/>
    <mergeCell ref="BFR12:BFS12"/>
    <mergeCell ref="BGH12:BGI12"/>
    <mergeCell ref="BGX12:BGY12"/>
    <mergeCell ref="BAD12:BAE12"/>
    <mergeCell ref="BAT12:BAU12"/>
    <mergeCell ref="BBJ12:BBK12"/>
    <mergeCell ref="BBZ12:BCA12"/>
    <mergeCell ref="BCP12:BCQ12"/>
    <mergeCell ref="BDF12:BDG12"/>
    <mergeCell ref="AWL12:AWM12"/>
    <mergeCell ref="AXB12:AXC12"/>
    <mergeCell ref="AXR12:AXS12"/>
    <mergeCell ref="AYH12:AYI12"/>
    <mergeCell ref="AYX12:AYY12"/>
    <mergeCell ref="AZN12:AZO12"/>
    <mergeCell ref="BOX12:BOY12"/>
    <mergeCell ref="BPN12:BPO12"/>
    <mergeCell ref="BQD12:BQE12"/>
    <mergeCell ref="BQT12:BQU12"/>
    <mergeCell ref="BRJ12:BRK12"/>
    <mergeCell ref="BRZ12:BSA12"/>
    <mergeCell ref="BLF12:BLG12"/>
    <mergeCell ref="BLV12:BLW12"/>
    <mergeCell ref="BML12:BMM12"/>
    <mergeCell ref="BNB12:BNC12"/>
    <mergeCell ref="BNR12:BNS12"/>
    <mergeCell ref="BOH12:BOI12"/>
    <mergeCell ref="BHN12:BHO12"/>
    <mergeCell ref="BID12:BIE12"/>
    <mergeCell ref="BIT12:BIU12"/>
    <mergeCell ref="BJJ12:BJK12"/>
    <mergeCell ref="BJZ12:BKA12"/>
    <mergeCell ref="BKP12:BKQ12"/>
    <mergeCell ref="BZZ12:CAA12"/>
    <mergeCell ref="CAP12:CAQ12"/>
    <mergeCell ref="CBF12:CBG12"/>
    <mergeCell ref="CBV12:CBW12"/>
    <mergeCell ref="CCL12:CCM12"/>
    <mergeCell ref="CDB12:CDC12"/>
    <mergeCell ref="BWH12:BWI12"/>
    <mergeCell ref="BWX12:BWY12"/>
    <mergeCell ref="BXN12:BXO12"/>
    <mergeCell ref="BYD12:BYE12"/>
    <mergeCell ref="BYT12:BYU12"/>
    <mergeCell ref="BZJ12:BZK12"/>
    <mergeCell ref="BSP12:BSQ12"/>
    <mergeCell ref="BTF12:BTG12"/>
    <mergeCell ref="BTV12:BTW12"/>
    <mergeCell ref="BUL12:BUM12"/>
    <mergeCell ref="BVB12:BVC12"/>
    <mergeCell ref="BVR12:BVS12"/>
    <mergeCell ref="CLB12:CLC12"/>
    <mergeCell ref="CLR12:CLS12"/>
    <mergeCell ref="CMH12:CMI12"/>
    <mergeCell ref="CMX12:CMY12"/>
    <mergeCell ref="CNN12:CNO12"/>
    <mergeCell ref="COD12:COE12"/>
    <mergeCell ref="CHJ12:CHK12"/>
    <mergeCell ref="CHZ12:CIA12"/>
    <mergeCell ref="CIP12:CIQ12"/>
    <mergeCell ref="CJF12:CJG12"/>
    <mergeCell ref="CJV12:CJW12"/>
    <mergeCell ref="CKL12:CKM12"/>
    <mergeCell ref="CDR12:CDS12"/>
    <mergeCell ref="CEH12:CEI12"/>
    <mergeCell ref="CEX12:CEY12"/>
    <mergeCell ref="CFN12:CFO12"/>
    <mergeCell ref="CGD12:CGE12"/>
    <mergeCell ref="CGT12:CGU12"/>
    <mergeCell ref="CWD12:CWE12"/>
    <mergeCell ref="CWT12:CWU12"/>
    <mergeCell ref="CXJ12:CXK12"/>
    <mergeCell ref="CXZ12:CYA12"/>
    <mergeCell ref="CYP12:CYQ12"/>
    <mergeCell ref="CZF12:CZG12"/>
    <mergeCell ref="CSL12:CSM12"/>
    <mergeCell ref="CTB12:CTC12"/>
    <mergeCell ref="CTR12:CTS12"/>
    <mergeCell ref="CUH12:CUI12"/>
    <mergeCell ref="CUX12:CUY12"/>
    <mergeCell ref="CVN12:CVO12"/>
    <mergeCell ref="COT12:COU12"/>
    <mergeCell ref="CPJ12:CPK12"/>
    <mergeCell ref="CPZ12:CQA12"/>
    <mergeCell ref="CQP12:CQQ12"/>
    <mergeCell ref="CRF12:CRG12"/>
    <mergeCell ref="CRV12:CRW12"/>
    <mergeCell ref="DHF12:DHG12"/>
    <mergeCell ref="DHV12:DHW12"/>
    <mergeCell ref="DIL12:DIM12"/>
    <mergeCell ref="DJB12:DJC12"/>
    <mergeCell ref="DJR12:DJS12"/>
    <mergeCell ref="DKH12:DKI12"/>
    <mergeCell ref="DDN12:DDO12"/>
    <mergeCell ref="DED12:DEE12"/>
    <mergeCell ref="DET12:DEU12"/>
    <mergeCell ref="DFJ12:DFK12"/>
    <mergeCell ref="DFZ12:DGA12"/>
    <mergeCell ref="DGP12:DGQ12"/>
    <mergeCell ref="CZV12:CZW12"/>
    <mergeCell ref="DAL12:DAM12"/>
    <mergeCell ref="DBB12:DBC12"/>
    <mergeCell ref="DBR12:DBS12"/>
    <mergeCell ref="DCH12:DCI12"/>
    <mergeCell ref="DCX12:DCY12"/>
    <mergeCell ref="DSH12:DSI12"/>
    <mergeCell ref="DSX12:DSY12"/>
    <mergeCell ref="DTN12:DTO12"/>
    <mergeCell ref="DUD12:DUE12"/>
    <mergeCell ref="DUT12:DUU12"/>
    <mergeCell ref="DVJ12:DVK12"/>
    <mergeCell ref="DOP12:DOQ12"/>
    <mergeCell ref="DPF12:DPG12"/>
    <mergeCell ref="DPV12:DPW12"/>
    <mergeCell ref="DQL12:DQM12"/>
    <mergeCell ref="DRB12:DRC12"/>
    <mergeCell ref="DRR12:DRS12"/>
    <mergeCell ref="DKX12:DKY12"/>
    <mergeCell ref="DLN12:DLO12"/>
    <mergeCell ref="DMD12:DME12"/>
    <mergeCell ref="DMT12:DMU12"/>
    <mergeCell ref="DNJ12:DNK12"/>
    <mergeCell ref="DNZ12:DOA12"/>
    <mergeCell ref="EDJ12:EDK12"/>
    <mergeCell ref="EDZ12:EEA12"/>
    <mergeCell ref="EEP12:EEQ12"/>
    <mergeCell ref="EFF12:EFG12"/>
    <mergeCell ref="EFV12:EFW12"/>
    <mergeCell ref="EGL12:EGM12"/>
    <mergeCell ref="DZR12:DZS12"/>
    <mergeCell ref="EAH12:EAI12"/>
    <mergeCell ref="EAX12:EAY12"/>
    <mergeCell ref="EBN12:EBO12"/>
    <mergeCell ref="ECD12:ECE12"/>
    <mergeCell ref="ECT12:ECU12"/>
    <mergeCell ref="DVZ12:DWA12"/>
    <mergeCell ref="DWP12:DWQ12"/>
    <mergeCell ref="DXF12:DXG12"/>
    <mergeCell ref="DXV12:DXW12"/>
    <mergeCell ref="DYL12:DYM12"/>
    <mergeCell ref="DZB12:DZC12"/>
    <mergeCell ref="EOL12:EOM12"/>
    <mergeCell ref="EPB12:EPC12"/>
    <mergeCell ref="EPR12:EPS12"/>
    <mergeCell ref="EQH12:EQI12"/>
    <mergeCell ref="EQX12:EQY12"/>
    <mergeCell ref="ERN12:ERO12"/>
    <mergeCell ref="EKT12:EKU12"/>
    <mergeCell ref="ELJ12:ELK12"/>
    <mergeCell ref="ELZ12:EMA12"/>
    <mergeCell ref="EMP12:EMQ12"/>
    <mergeCell ref="ENF12:ENG12"/>
    <mergeCell ref="ENV12:ENW12"/>
    <mergeCell ref="EHB12:EHC12"/>
    <mergeCell ref="EHR12:EHS12"/>
    <mergeCell ref="EIH12:EII12"/>
    <mergeCell ref="EIX12:EIY12"/>
    <mergeCell ref="EJN12:EJO12"/>
    <mergeCell ref="EKD12:EKE12"/>
    <mergeCell ref="EZN12:EZO12"/>
    <mergeCell ref="FAD12:FAE12"/>
    <mergeCell ref="FAT12:FAU12"/>
    <mergeCell ref="FBJ12:FBK12"/>
    <mergeCell ref="FBZ12:FCA12"/>
    <mergeCell ref="FCP12:FCQ12"/>
    <mergeCell ref="EVV12:EVW12"/>
    <mergeCell ref="EWL12:EWM12"/>
    <mergeCell ref="EXB12:EXC12"/>
    <mergeCell ref="EXR12:EXS12"/>
    <mergeCell ref="EYH12:EYI12"/>
    <mergeCell ref="EYX12:EYY12"/>
    <mergeCell ref="ESD12:ESE12"/>
    <mergeCell ref="EST12:ESU12"/>
    <mergeCell ref="ETJ12:ETK12"/>
    <mergeCell ref="ETZ12:EUA12"/>
    <mergeCell ref="EUP12:EUQ12"/>
    <mergeCell ref="EVF12:EVG12"/>
    <mergeCell ref="FKP12:FKQ12"/>
    <mergeCell ref="FLF12:FLG12"/>
    <mergeCell ref="FLV12:FLW12"/>
    <mergeCell ref="FML12:FMM12"/>
    <mergeCell ref="FNB12:FNC12"/>
    <mergeCell ref="FNR12:FNS12"/>
    <mergeCell ref="FGX12:FGY12"/>
    <mergeCell ref="FHN12:FHO12"/>
    <mergeCell ref="FID12:FIE12"/>
    <mergeCell ref="FIT12:FIU12"/>
    <mergeCell ref="FJJ12:FJK12"/>
    <mergeCell ref="FJZ12:FKA12"/>
    <mergeCell ref="FDF12:FDG12"/>
    <mergeCell ref="FDV12:FDW12"/>
    <mergeCell ref="FEL12:FEM12"/>
    <mergeCell ref="FFB12:FFC12"/>
    <mergeCell ref="FFR12:FFS12"/>
    <mergeCell ref="FGH12:FGI12"/>
    <mergeCell ref="FVR12:FVS12"/>
    <mergeCell ref="FWH12:FWI12"/>
    <mergeCell ref="FWX12:FWY12"/>
    <mergeCell ref="FXN12:FXO12"/>
    <mergeCell ref="FYD12:FYE12"/>
    <mergeCell ref="FYT12:FYU12"/>
    <mergeCell ref="FRZ12:FSA12"/>
    <mergeCell ref="FSP12:FSQ12"/>
    <mergeCell ref="FTF12:FTG12"/>
    <mergeCell ref="FTV12:FTW12"/>
    <mergeCell ref="FUL12:FUM12"/>
    <mergeCell ref="FVB12:FVC12"/>
    <mergeCell ref="FOH12:FOI12"/>
    <mergeCell ref="FOX12:FOY12"/>
    <mergeCell ref="FPN12:FPO12"/>
    <mergeCell ref="FQD12:FQE12"/>
    <mergeCell ref="FQT12:FQU12"/>
    <mergeCell ref="FRJ12:FRK12"/>
    <mergeCell ref="GGT12:GGU12"/>
    <mergeCell ref="GHJ12:GHK12"/>
    <mergeCell ref="GHZ12:GIA12"/>
    <mergeCell ref="GIP12:GIQ12"/>
    <mergeCell ref="GJF12:GJG12"/>
    <mergeCell ref="GJV12:GJW12"/>
    <mergeCell ref="GDB12:GDC12"/>
    <mergeCell ref="GDR12:GDS12"/>
    <mergeCell ref="GEH12:GEI12"/>
    <mergeCell ref="GEX12:GEY12"/>
    <mergeCell ref="GFN12:GFO12"/>
    <mergeCell ref="GGD12:GGE12"/>
    <mergeCell ref="FZJ12:FZK12"/>
    <mergeCell ref="FZZ12:GAA12"/>
    <mergeCell ref="GAP12:GAQ12"/>
    <mergeCell ref="GBF12:GBG12"/>
    <mergeCell ref="GBV12:GBW12"/>
    <mergeCell ref="GCL12:GCM12"/>
    <mergeCell ref="GRV12:GRW12"/>
    <mergeCell ref="GSL12:GSM12"/>
    <mergeCell ref="GTB12:GTC12"/>
    <mergeCell ref="GTR12:GTS12"/>
    <mergeCell ref="GUH12:GUI12"/>
    <mergeCell ref="GUX12:GUY12"/>
    <mergeCell ref="GOD12:GOE12"/>
    <mergeCell ref="GOT12:GOU12"/>
    <mergeCell ref="GPJ12:GPK12"/>
    <mergeCell ref="GPZ12:GQA12"/>
    <mergeCell ref="GQP12:GQQ12"/>
    <mergeCell ref="GRF12:GRG12"/>
    <mergeCell ref="GKL12:GKM12"/>
    <mergeCell ref="GLB12:GLC12"/>
    <mergeCell ref="GLR12:GLS12"/>
    <mergeCell ref="GMH12:GMI12"/>
    <mergeCell ref="GMX12:GMY12"/>
    <mergeCell ref="GNN12:GNO12"/>
    <mergeCell ref="HCX12:HCY12"/>
    <mergeCell ref="HDN12:HDO12"/>
    <mergeCell ref="HED12:HEE12"/>
    <mergeCell ref="HET12:HEU12"/>
    <mergeCell ref="HFJ12:HFK12"/>
    <mergeCell ref="HFZ12:HGA12"/>
    <mergeCell ref="GZF12:GZG12"/>
    <mergeCell ref="GZV12:GZW12"/>
    <mergeCell ref="HAL12:HAM12"/>
    <mergeCell ref="HBB12:HBC12"/>
    <mergeCell ref="HBR12:HBS12"/>
    <mergeCell ref="HCH12:HCI12"/>
    <mergeCell ref="GVN12:GVO12"/>
    <mergeCell ref="GWD12:GWE12"/>
    <mergeCell ref="GWT12:GWU12"/>
    <mergeCell ref="GXJ12:GXK12"/>
    <mergeCell ref="GXZ12:GYA12"/>
    <mergeCell ref="GYP12:GYQ12"/>
    <mergeCell ref="HNZ12:HOA12"/>
    <mergeCell ref="HOP12:HOQ12"/>
    <mergeCell ref="HPF12:HPG12"/>
    <mergeCell ref="HPV12:HPW12"/>
    <mergeCell ref="HQL12:HQM12"/>
    <mergeCell ref="HRB12:HRC12"/>
    <mergeCell ref="HKH12:HKI12"/>
    <mergeCell ref="HKX12:HKY12"/>
    <mergeCell ref="HLN12:HLO12"/>
    <mergeCell ref="HMD12:HME12"/>
    <mergeCell ref="HMT12:HMU12"/>
    <mergeCell ref="HNJ12:HNK12"/>
    <mergeCell ref="HGP12:HGQ12"/>
    <mergeCell ref="HHF12:HHG12"/>
    <mergeCell ref="HHV12:HHW12"/>
    <mergeCell ref="HIL12:HIM12"/>
    <mergeCell ref="HJB12:HJC12"/>
    <mergeCell ref="HJR12:HJS12"/>
    <mergeCell ref="HZB12:HZC12"/>
    <mergeCell ref="HZR12:HZS12"/>
    <mergeCell ref="IAH12:IAI12"/>
    <mergeCell ref="IAX12:IAY12"/>
    <mergeCell ref="IBN12:IBO12"/>
    <mergeCell ref="ICD12:ICE12"/>
    <mergeCell ref="HVJ12:HVK12"/>
    <mergeCell ref="HVZ12:HWA12"/>
    <mergeCell ref="HWP12:HWQ12"/>
    <mergeCell ref="HXF12:HXG12"/>
    <mergeCell ref="HXV12:HXW12"/>
    <mergeCell ref="HYL12:HYM12"/>
    <mergeCell ref="HRR12:HRS12"/>
    <mergeCell ref="HSH12:HSI12"/>
    <mergeCell ref="HSX12:HSY12"/>
    <mergeCell ref="HTN12:HTO12"/>
    <mergeCell ref="HUD12:HUE12"/>
    <mergeCell ref="HUT12:HUU12"/>
    <mergeCell ref="IKD12:IKE12"/>
    <mergeCell ref="IKT12:IKU12"/>
    <mergeCell ref="ILJ12:ILK12"/>
    <mergeCell ref="ILZ12:IMA12"/>
    <mergeCell ref="IMP12:IMQ12"/>
    <mergeCell ref="INF12:ING12"/>
    <mergeCell ref="IGL12:IGM12"/>
    <mergeCell ref="IHB12:IHC12"/>
    <mergeCell ref="IHR12:IHS12"/>
    <mergeCell ref="IIH12:III12"/>
    <mergeCell ref="IIX12:IIY12"/>
    <mergeCell ref="IJN12:IJO12"/>
    <mergeCell ref="ICT12:ICU12"/>
    <mergeCell ref="IDJ12:IDK12"/>
    <mergeCell ref="IDZ12:IEA12"/>
    <mergeCell ref="IEP12:IEQ12"/>
    <mergeCell ref="IFF12:IFG12"/>
    <mergeCell ref="IFV12:IFW12"/>
    <mergeCell ref="IVF12:IVG12"/>
    <mergeCell ref="IVV12:IVW12"/>
    <mergeCell ref="IWL12:IWM12"/>
    <mergeCell ref="IXB12:IXC12"/>
    <mergeCell ref="IXR12:IXS12"/>
    <mergeCell ref="IYH12:IYI12"/>
    <mergeCell ref="IRN12:IRO12"/>
    <mergeCell ref="ISD12:ISE12"/>
    <mergeCell ref="IST12:ISU12"/>
    <mergeCell ref="ITJ12:ITK12"/>
    <mergeCell ref="ITZ12:IUA12"/>
    <mergeCell ref="IUP12:IUQ12"/>
    <mergeCell ref="INV12:INW12"/>
    <mergeCell ref="IOL12:IOM12"/>
    <mergeCell ref="IPB12:IPC12"/>
    <mergeCell ref="IPR12:IPS12"/>
    <mergeCell ref="IQH12:IQI12"/>
    <mergeCell ref="IQX12:IQY12"/>
    <mergeCell ref="JGH12:JGI12"/>
    <mergeCell ref="JGX12:JGY12"/>
    <mergeCell ref="JHN12:JHO12"/>
    <mergeCell ref="JID12:JIE12"/>
    <mergeCell ref="JIT12:JIU12"/>
    <mergeCell ref="JJJ12:JJK12"/>
    <mergeCell ref="JCP12:JCQ12"/>
    <mergeCell ref="JDF12:JDG12"/>
    <mergeCell ref="JDV12:JDW12"/>
    <mergeCell ref="JEL12:JEM12"/>
    <mergeCell ref="JFB12:JFC12"/>
    <mergeCell ref="JFR12:JFS12"/>
    <mergeCell ref="IYX12:IYY12"/>
    <mergeCell ref="IZN12:IZO12"/>
    <mergeCell ref="JAD12:JAE12"/>
    <mergeCell ref="JAT12:JAU12"/>
    <mergeCell ref="JBJ12:JBK12"/>
    <mergeCell ref="JBZ12:JCA12"/>
    <mergeCell ref="JRJ12:JRK12"/>
    <mergeCell ref="JRZ12:JSA12"/>
    <mergeCell ref="JSP12:JSQ12"/>
    <mergeCell ref="JTF12:JTG12"/>
    <mergeCell ref="JTV12:JTW12"/>
    <mergeCell ref="JUL12:JUM12"/>
    <mergeCell ref="JNR12:JNS12"/>
    <mergeCell ref="JOH12:JOI12"/>
    <mergeCell ref="JOX12:JOY12"/>
    <mergeCell ref="JPN12:JPO12"/>
    <mergeCell ref="JQD12:JQE12"/>
    <mergeCell ref="JQT12:JQU12"/>
    <mergeCell ref="JJZ12:JKA12"/>
    <mergeCell ref="JKP12:JKQ12"/>
    <mergeCell ref="JLF12:JLG12"/>
    <mergeCell ref="JLV12:JLW12"/>
    <mergeCell ref="JML12:JMM12"/>
    <mergeCell ref="JNB12:JNC12"/>
    <mergeCell ref="KCL12:KCM12"/>
    <mergeCell ref="KDB12:KDC12"/>
    <mergeCell ref="KDR12:KDS12"/>
    <mergeCell ref="KEH12:KEI12"/>
    <mergeCell ref="KEX12:KEY12"/>
    <mergeCell ref="KFN12:KFO12"/>
    <mergeCell ref="JYT12:JYU12"/>
    <mergeCell ref="JZJ12:JZK12"/>
    <mergeCell ref="JZZ12:KAA12"/>
    <mergeCell ref="KAP12:KAQ12"/>
    <mergeCell ref="KBF12:KBG12"/>
    <mergeCell ref="KBV12:KBW12"/>
    <mergeCell ref="JVB12:JVC12"/>
    <mergeCell ref="JVR12:JVS12"/>
    <mergeCell ref="JWH12:JWI12"/>
    <mergeCell ref="JWX12:JWY12"/>
    <mergeCell ref="JXN12:JXO12"/>
    <mergeCell ref="JYD12:JYE12"/>
    <mergeCell ref="KNN12:KNO12"/>
    <mergeCell ref="KOD12:KOE12"/>
    <mergeCell ref="KOT12:KOU12"/>
    <mergeCell ref="KPJ12:KPK12"/>
    <mergeCell ref="KPZ12:KQA12"/>
    <mergeCell ref="KQP12:KQQ12"/>
    <mergeCell ref="KJV12:KJW12"/>
    <mergeCell ref="KKL12:KKM12"/>
    <mergeCell ref="KLB12:KLC12"/>
    <mergeCell ref="KLR12:KLS12"/>
    <mergeCell ref="KMH12:KMI12"/>
    <mergeCell ref="KMX12:KMY12"/>
    <mergeCell ref="KGD12:KGE12"/>
    <mergeCell ref="KGT12:KGU12"/>
    <mergeCell ref="KHJ12:KHK12"/>
    <mergeCell ref="KHZ12:KIA12"/>
    <mergeCell ref="KIP12:KIQ12"/>
    <mergeCell ref="KJF12:KJG12"/>
    <mergeCell ref="KYP12:KYQ12"/>
    <mergeCell ref="KZF12:KZG12"/>
    <mergeCell ref="KZV12:KZW12"/>
    <mergeCell ref="LAL12:LAM12"/>
    <mergeCell ref="LBB12:LBC12"/>
    <mergeCell ref="LBR12:LBS12"/>
    <mergeCell ref="KUX12:KUY12"/>
    <mergeCell ref="KVN12:KVO12"/>
    <mergeCell ref="KWD12:KWE12"/>
    <mergeCell ref="KWT12:KWU12"/>
    <mergeCell ref="KXJ12:KXK12"/>
    <mergeCell ref="KXZ12:KYA12"/>
    <mergeCell ref="KRF12:KRG12"/>
    <mergeCell ref="KRV12:KRW12"/>
    <mergeCell ref="KSL12:KSM12"/>
    <mergeCell ref="KTB12:KTC12"/>
    <mergeCell ref="KTR12:KTS12"/>
    <mergeCell ref="KUH12:KUI12"/>
    <mergeCell ref="LJR12:LJS12"/>
    <mergeCell ref="LKH12:LKI12"/>
    <mergeCell ref="LKX12:LKY12"/>
    <mergeCell ref="LLN12:LLO12"/>
    <mergeCell ref="LMD12:LME12"/>
    <mergeCell ref="LMT12:LMU12"/>
    <mergeCell ref="LFZ12:LGA12"/>
    <mergeCell ref="LGP12:LGQ12"/>
    <mergeCell ref="LHF12:LHG12"/>
    <mergeCell ref="LHV12:LHW12"/>
    <mergeCell ref="LIL12:LIM12"/>
    <mergeCell ref="LJB12:LJC12"/>
    <mergeCell ref="LCH12:LCI12"/>
    <mergeCell ref="LCX12:LCY12"/>
    <mergeCell ref="LDN12:LDO12"/>
    <mergeCell ref="LED12:LEE12"/>
    <mergeCell ref="LET12:LEU12"/>
    <mergeCell ref="LFJ12:LFK12"/>
    <mergeCell ref="LUT12:LUU12"/>
    <mergeCell ref="LVJ12:LVK12"/>
    <mergeCell ref="LVZ12:LWA12"/>
    <mergeCell ref="LWP12:LWQ12"/>
    <mergeCell ref="LXF12:LXG12"/>
    <mergeCell ref="LXV12:LXW12"/>
    <mergeCell ref="LRB12:LRC12"/>
    <mergeCell ref="LRR12:LRS12"/>
    <mergeCell ref="LSH12:LSI12"/>
    <mergeCell ref="LSX12:LSY12"/>
    <mergeCell ref="LTN12:LTO12"/>
    <mergeCell ref="LUD12:LUE12"/>
    <mergeCell ref="LNJ12:LNK12"/>
    <mergeCell ref="LNZ12:LOA12"/>
    <mergeCell ref="LOP12:LOQ12"/>
    <mergeCell ref="LPF12:LPG12"/>
    <mergeCell ref="LPV12:LPW12"/>
    <mergeCell ref="LQL12:LQM12"/>
    <mergeCell ref="MFV12:MFW12"/>
    <mergeCell ref="MGL12:MGM12"/>
    <mergeCell ref="MHB12:MHC12"/>
    <mergeCell ref="MHR12:MHS12"/>
    <mergeCell ref="MIH12:MII12"/>
    <mergeCell ref="MIX12:MIY12"/>
    <mergeCell ref="MCD12:MCE12"/>
    <mergeCell ref="MCT12:MCU12"/>
    <mergeCell ref="MDJ12:MDK12"/>
    <mergeCell ref="MDZ12:MEA12"/>
    <mergeCell ref="MEP12:MEQ12"/>
    <mergeCell ref="MFF12:MFG12"/>
    <mergeCell ref="LYL12:LYM12"/>
    <mergeCell ref="LZB12:LZC12"/>
    <mergeCell ref="LZR12:LZS12"/>
    <mergeCell ref="MAH12:MAI12"/>
    <mergeCell ref="MAX12:MAY12"/>
    <mergeCell ref="MBN12:MBO12"/>
    <mergeCell ref="MQX12:MQY12"/>
    <mergeCell ref="MRN12:MRO12"/>
    <mergeCell ref="MSD12:MSE12"/>
    <mergeCell ref="MST12:MSU12"/>
    <mergeCell ref="MTJ12:MTK12"/>
    <mergeCell ref="MTZ12:MUA12"/>
    <mergeCell ref="MNF12:MNG12"/>
    <mergeCell ref="MNV12:MNW12"/>
    <mergeCell ref="MOL12:MOM12"/>
    <mergeCell ref="MPB12:MPC12"/>
    <mergeCell ref="MPR12:MPS12"/>
    <mergeCell ref="MQH12:MQI12"/>
    <mergeCell ref="MJN12:MJO12"/>
    <mergeCell ref="MKD12:MKE12"/>
    <mergeCell ref="MKT12:MKU12"/>
    <mergeCell ref="MLJ12:MLK12"/>
    <mergeCell ref="MLZ12:MMA12"/>
    <mergeCell ref="MMP12:MMQ12"/>
    <mergeCell ref="NBZ12:NCA12"/>
    <mergeCell ref="NCP12:NCQ12"/>
    <mergeCell ref="NDF12:NDG12"/>
    <mergeCell ref="NDV12:NDW12"/>
    <mergeCell ref="NEL12:NEM12"/>
    <mergeCell ref="NFB12:NFC12"/>
    <mergeCell ref="MYH12:MYI12"/>
    <mergeCell ref="MYX12:MYY12"/>
    <mergeCell ref="MZN12:MZO12"/>
    <mergeCell ref="NAD12:NAE12"/>
    <mergeCell ref="NAT12:NAU12"/>
    <mergeCell ref="NBJ12:NBK12"/>
    <mergeCell ref="MUP12:MUQ12"/>
    <mergeCell ref="MVF12:MVG12"/>
    <mergeCell ref="MVV12:MVW12"/>
    <mergeCell ref="MWL12:MWM12"/>
    <mergeCell ref="MXB12:MXC12"/>
    <mergeCell ref="MXR12:MXS12"/>
    <mergeCell ref="NNB12:NNC12"/>
    <mergeCell ref="NNR12:NNS12"/>
    <mergeCell ref="NOH12:NOI12"/>
    <mergeCell ref="NOX12:NOY12"/>
    <mergeCell ref="NPN12:NPO12"/>
    <mergeCell ref="NQD12:NQE12"/>
    <mergeCell ref="NJJ12:NJK12"/>
    <mergeCell ref="NJZ12:NKA12"/>
    <mergeCell ref="NKP12:NKQ12"/>
    <mergeCell ref="NLF12:NLG12"/>
    <mergeCell ref="NLV12:NLW12"/>
    <mergeCell ref="NML12:NMM12"/>
    <mergeCell ref="NFR12:NFS12"/>
    <mergeCell ref="NGH12:NGI12"/>
    <mergeCell ref="NGX12:NGY12"/>
    <mergeCell ref="NHN12:NHO12"/>
    <mergeCell ref="NID12:NIE12"/>
    <mergeCell ref="NIT12:NIU12"/>
    <mergeCell ref="NYD12:NYE12"/>
    <mergeCell ref="NYT12:NYU12"/>
    <mergeCell ref="NZJ12:NZK12"/>
    <mergeCell ref="NZZ12:OAA12"/>
    <mergeCell ref="OAP12:OAQ12"/>
    <mergeCell ref="OBF12:OBG12"/>
    <mergeCell ref="NUL12:NUM12"/>
    <mergeCell ref="NVB12:NVC12"/>
    <mergeCell ref="NVR12:NVS12"/>
    <mergeCell ref="NWH12:NWI12"/>
    <mergeCell ref="NWX12:NWY12"/>
    <mergeCell ref="NXN12:NXO12"/>
    <mergeCell ref="NQT12:NQU12"/>
    <mergeCell ref="NRJ12:NRK12"/>
    <mergeCell ref="NRZ12:NSA12"/>
    <mergeCell ref="NSP12:NSQ12"/>
    <mergeCell ref="NTF12:NTG12"/>
    <mergeCell ref="NTV12:NTW12"/>
    <mergeCell ref="OJF12:OJG12"/>
    <mergeCell ref="OJV12:OJW12"/>
    <mergeCell ref="OKL12:OKM12"/>
    <mergeCell ref="OLB12:OLC12"/>
    <mergeCell ref="OLR12:OLS12"/>
    <mergeCell ref="OMH12:OMI12"/>
    <mergeCell ref="OFN12:OFO12"/>
    <mergeCell ref="OGD12:OGE12"/>
    <mergeCell ref="OGT12:OGU12"/>
    <mergeCell ref="OHJ12:OHK12"/>
    <mergeCell ref="OHZ12:OIA12"/>
    <mergeCell ref="OIP12:OIQ12"/>
    <mergeCell ref="OBV12:OBW12"/>
    <mergeCell ref="OCL12:OCM12"/>
    <mergeCell ref="ODB12:ODC12"/>
    <mergeCell ref="ODR12:ODS12"/>
    <mergeCell ref="OEH12:OEI12"/>
    <mergeCell ref="OEX12:OEY12"/>
    <mergeCell ref="OUH12:OUI12"/>
    <mergeCell ref="OUX12:OUY12"/>
    <mergeCell ref="OVN12:OVO12"/>
    <mergeCell ref="OWD12:OWE12"/>
    <mergeCell ref="OWT12:OWU12"/>
    <mergeCell ref="OXJ12:OXK12"/>
    <mergeCell ref="OQP12:OQQ12"/>
    <mergeCell ref="ORF12:ORG12"/>
    <mergeCell ref="ORV12:ORW12"/>
    <mergeCell ref="OSL12:OSM12"/>
    <mergeCell ref="OTB12:OTC12"/>
    <mergeCell ref="OTR12:OTS12"/>
    <mergeCell ref="OMX12:OMY12"/>
    <mergeCell ref="ONN12:ONO12"/>
    <mergeCell ref="OOD12:OOE12"/>
    <mergeCell ref="OOT12:OOU12"/>
    <mergeCell ref="OPJ12:OPK12"/>
    <mergeCell ref="OPZ12:OQA12"/>
    <mergeCell ref="PFJ12:PFK12"/>
    <mergeCell ref="PFZ12:PGA12"/>
    <mergeCell ref="PGP12:PGQ12"/>
    <mergeCell ref="PHF12:PHG12"/>
    <mergeCell ref="PHV12:PHW12"/>
    <mergeCell ref="PIL12:PIM12"/>
    <mergeCell ref="PBR12:PBS12"/>
    <mergeCell ref="PCH12:PCI12"/>
    <mergeCell ref="PCX12:PCY12"/>
    <mergeCell ref="PDN12:PDO12"/>
    <mergeCell ref="PED12:PEE12"/>
    <mergeCell ref="PET12:PEU12"/>
    <mergeCell ref="OXZ12:OYA12"/>
    <mergeCell ref="OYP12:OYQ12"/>
    <mergeCell ref="OZF12:OZG12"/>
    <mergeCell ref="OZV12:OZW12"/>
    <mergeCell ref="PAL12:PAM12"/>
    <mergeCell ref="PBB12:PBC12"/>
    <mergeCell ref="PQL12:PQM12"/>
    <mergeCell ref="PRB12:PRC12"/>
    <mergeCell ref="PRR12:PRS12"/>
    <mergeCell ref="PSH12:PSI12"/>
    <mergeCell ref="PSX12:PSY12"/>
    <mergeCell ref="PTN12:PTO12"/>
    <mergeCell ref="PMT12:PMU12"/>
    <mergeCell ref="PNJ12:PNK12"/>
    <mergeCell ref="PNZ12:POA12"/>
    <mergeCell ref="POP12:POQ12"/>
    <mergeCell ref="PPF12:PPG12"/>
    <mergeCell ref="PPV12:PPW12"/>
    <mergeCell ref="PJB12:PJC12"/>
    <mergeCell ref="PJR12:PJS12"/>
    <mergeCell ref="PKH12:PKI12"/>
    <mergeCell ref="PKX12:PKY12"/>
    <mergeCell ref="PLN12:PLO12"/>
    <mergeCell ref="PMD12:PME12"/>
    <mergeCell ref="QBN12:QBO12"/>
    <mergeCell ref="QCD12:QCE12"/>
    <mergeCell ref="QCT12:QCU12"/>
    <mergeCell ref="QDJ12:QDK12"/>
    <mergeCell ref="QDZ12:QEA12"/>
    <mergeCell ref="QEP12:QEQ12"/>
    <mergeCell ref="PXV12:PXW12"/>
    <mergeCell ref="PYL12:PYM12"/>
    <mergeCell ref="PZB12:PZC12"/>
    <mergeCell ref="PZR12:PZS12"/>
    <mergeCell ref="QAH12:QAI12"/>
    <mergeCell ref="QAX12:QAY12"/>
    <mergeCell ref="PUD12:PUE12"/>
    <mergeCell ref="PUT12:PUU12"/>
    <mergeCell ref="PVJ12:PVK12"/>
    <mergeCell ref="PVZ12:PWA12"/>
    <mergeCell ref="PWP12:PWQ12"/>
    <mergeCell ref="PXF12:PXG12"/>
    <mergeCell ref="QMP12:QMQ12"/>
    <mergeCell ref="QNF12:QNG12"/>
    <mergeCell ref="QNV12:QNW12"/>
    <mergeCell ref="QOL12:QOM12"/>
    <mergeCell ref="QPB12:QPC12"/>
    <mergeCell ref="QPR12:QPS12"/>
    <mergeCell ref="QIX12:QIY12"/>
    <mergeCell ref="QJN12:QJO12"/>
    <mergeCell ref="QKD12:QKE12"/>
    <mergeCell ref="QKT12:QKU12"/>
    <mergeCell ref="QLJ12:QLK12"/>
    <mergeCell ref="QLZ12:QMA12"/>
    <mergeCell ref="QFF12:QFG12"/>
    <mergeCell ref="QFV12:QFW12"/>
    <mergeCell ref="QGL12:QGM12"/>
    <mergeCell ref="QHB12:QHC12"/>
    <mergeCell ref="QHR12:QHS12"/>
    <mergeCell ref="QIH12:QII12"/>
    <mergeCell ref="QXR12:QXS12"/>
    <mergeCell ref="QYH12:QYI12"/>
    <mergeCell ref="QYX12:QYY12"/>
    <mergeCell ref="QZN12:QZO12"/>
    <mergeCell ref="RAD12:RAE12"/>
    <mergeCell ref="RAT12:RAU12"/>
    <mergeCell ref="QTZ12:QUA12"/>
    <mergeCell ref="QUP12:QUQ12"/>
    <mergeCell ref="QVF12:QVG12"/>
    <mergeCell ref="QVV12:QVW12"/>
    <mergeCell ref="QWL12:QWM12"/>
    <mergeCell ref="QXB12:QXC12"/>
    <mergeCell ref="QQH12:QQI12"/>
    <mergeCell ref="QQX12:QQY12"/>
    <mergeCell ref="QRN12:QRO12"/>
    <mergeCell ref="QSD12:QSE12"/>
    <mergeCell ref="QST12:QSU12"/>
    <mergeCell ref="QTJ12:QTK12"/>
    <mergeCell ref="RIT12:RIU12"/>
    <mergeCell ref="RJJ12:RJK12"/>
    <mergeCell ref="RJZ12:RKA12"/>
    <mergeCell ref="RKP12:RKQ12"/>
    <mergeCell ref="RLF12:RLG12"/>
    <mergeCell ref="RLV12:RLW12"/>
    <mergeCell ref="RFB12:RFC12"/>
    <mergeCell ref="RFR12:RFS12"/>
    <mergeCell ref="RGH12:RGI12"/>
    <mergeCell ref="RGX12:RGY12"/>
    <mergeCell ref="RHN12:RHO12"/>
    <mergeCell ref="RID12:RIE12"/>
    <mergeCell ref="RBJ12:RBK12"/>
    <mergeCell ref="RBZ12:RCA12"/>
    <mergeCell ref="RCP12:RCQ12"/>
    <mergeCell ref="RDF12:RDG12"/>
    <mergeCell ref="RDV12:RDW12"/>
    <mergeCell ref="REL12:REM12"/>
    <mergeCell ref="RTV12:RTW12"/>
    <mergeCell ref="RUL12:RUM12"/>
    <mergeCell ref="RVB12:RVC12"/>
    <mergeCell ref="RVR12:RVS12"/>
    <mergeCell ref="RWH12:RWI12"/>
    <mergeCell ref="RWX12:RWY12"/>
    <mergeCell ref="RQD12:RQE12"/>
    <mergeCell ref="RQT12:RQU12"/>
    <mergeCell ref="RRJ12:RRK12"/>
    <mergeCell ref="RRZ12:RSA12"/>
    <mergeCell ref="RSP12:RSQ12"/>
    <mergeCell ref="RTF12:RTG12"/>
    <mergeCell ref="RML12:RMM12"/>
    <mergeCell ref="RNB12:RNC12"/>
    <mergeCell ref="RNR12:RNS12"/>
    <mergeCell ref="ROH12:ROI12"/>
    <mergeCell ref="ROX12:ROY12"/>
    <mergeCell ref="RPN12:RPO12"/>
    <mergeCell ref="SEX12:SEY12"/>
    <mergeCell ref="SFN12:SFO12"/>
    <mergeCell ref="SGD12:SGE12"/>
    <mergeCell ref="SGT12:SGU12"/>
    <mergeCell ref="SHJ12:SHK12"/>
    <mergeCell ref="SHZ12:SIA12"/>
    <mergeCell ref="SBF12:SBG12"/>
    <mergeCell ref="SBV12:SBW12"/>
    <mergeCell ref="SCL12:SCM12"/>
    <mergeCell ref="SDB12:SDC12"/>
    <mergeCell ref="SDR12:SDS12"/>
    <mergeCell ref="SEH12:SEI12"/>
    <mergeCell ref="RXN12:RXO12"/>
    <mergeCell ref="RYD12:RYE12"/>
    <mergeCell ref="RYT12:RYU12"/>
    <mergeCell ref="RZJ12:RZK12"/>
    <mergeCell ref="RZZ12:SAA12"/>
    <mergeCell ref="SAP12:SAQ12"/>
    <mergeCell ref="SPZ12:SQA12"/>
    <mergeCell ref="SQP12:SQQ12"/>
    <mergeCell ref="SRF12:SRG12"/>
    <mergeCell ref="SRV12:SRW12"/>
    <mergeCell ref="SSL12:SSM12"/>
    <mergeCell ref="STB12:STC12"/>
    <mergeCell ref="SMH12:SMI12"/>
    <mergeCell ref="SMX12:SMY12"/>
    <mergeCell ref="SNN12:SNO12"/>
    <mergeCell ref="SOD12:SOE12"/>
    <mergeCell ref="SOT12:SOU12"/>
    <mergeCell ref="SPJ12:SPK12"/>
    <mergeCell ref="SIP12:SIQ12"/>
    <mergeCell ref="SJF12:SJG12"/>
    <mergeCell ref="SJV12:SJW12"/>
    <mergeCell ref="SKL12:SKM12"/>
    <mergeCell ref="SLB12:SLC12"/>
    <mergeCell ref="SLR12:SLS12"/>
    <mergeCell ref="TBB12:TBC12"/>
    <mergeCell ref="TBR12:TBS12"/>
    <mergeCell ref="TCH12:TCI12"/>
    <mergeCell ref="TCX12:TCY12"/>
    <mergeCell ref="TDN12:TDO12"/>
    <mergeCell ref="TED12:TEE12"/>
    <mergeCell ref="SXJ12:SXK12"/>
    <mergeCell ref="SXZ12:SYA12"/>
    <mergeCell ref="SYP12:SYQ12"/>
    <mergeCell ref="SZF12:SZG12"/>
    <mergeCell ref="SZV12:SZW12"/>
    <mergeCell ref="TAL12:TAM12"/>
    <mergeCell ref="STR12:STS12"/>
    <mergeCell ref="SUH12:SUI12"/>
    <mergeCell ref="SUX12:SUY12"/>
    <mergeCell ref="SVN12:SVO12"/>
    <mergeCell ref="SWD12:SWE12"/>
    <mergeCell ref="SWT12:SWU12"/>
    <mergeCell ref="TMD12:TME12"/>
    <mergeCell ref="TMT12:TMU12"/>
    <mergeCell ref="TNJ12:TNK12"/>
    <mergeCell ref="TNZ12:TOA12"/>
    <mergeCell ref="TOP12:TOQ12"/>
    <mergeCell ref="TPF12:TPG12"/>
    <mergeCell ref="TIL12:TIM12"/>
    <mergeCell ref="TJB12:TJC12"/>
    <mergeCell ref="TJR12:TJS12"/>
    <mergeCell ref="TKH12:TKI12"/>
    <mergeCell ref="TKX12:TKY12"/>
    <mergeCell ref="TLN12:TLO12"/>
    <mergeCell ref="TET12:TEU12"/>
    <mergeCell ref="TFJ12:TFK12"/>
    <mergeCell ref="TFZ12:TGA12"/>
    <mergeCell ref="TGP12:TGQ12"/>
    <mergeCell ref="THF12:THG12"/>
    <mergeCell ref="THV12:THW12"/>
    <mergeCell ref="TXF12:TXG12"/>
    <mergeCell ref="TXV12:TXW12"/>
    <mergeCell ref="TYL12:TYM12"/>
    <mergeCell ref="TZB12:TZC12"/>
    <mergeCell ref="TZR12:TZS12"/>
    <mergeCell ref="UAH12:UAI12"/>
    <mergeCell ref="TTN12:TTO12"/>
    <mergeCell ref="TUD12:TUE12"/>
    <mergeCell ref="TUT12:TUU12"/>
    <mergeCell ref="TVJ12:TVK12"/>
    <mergeCell ref="TVZ12:TWA12"/>
    <mergeCell ref="TWP12:TWQ12"/>
    <mergeCell ref="TPV12:TPW12"/>
    <mergeCell ref="TQL12:TQM12"/>
    <mergeCell ref="TRB12:TRC12"/>
    <mergeCell ref="TRR12:TRS12"/>
    <mergeCell ref="TSH12:TSI12"/>
    <mergeCell ref="TSX12:TSY12"/>
    <mergeCell ref="UIH12:UII12"/>
    <mergeCell ref="UIX12:UIY12"/>
    <mergeCell ref="UJN12:UJO12"/>
    <mergeCell ref="UKD12:UKE12"/>
    <mergeCell ref="UKT12:UKU12"/>
    <mergeCell ref="ULJ12:ULK12"/>
    <mergeCell ref="UEP12:UEQ12"/>
    <mergeCell ref="UFF12:UFG12"/>
    <mergeCell ref="UFV12:UFW12"/>
    <mergeCell ref="UGL12:UGM12"/>
    <mergeCell ref="UHB12:UHC12"/>
    <mergeCell ref="UHR12:UHS12"/>
    <mergeCell ref="UAX12:UAY12"/>
    <mergeCell ref="UBN12:UBO12"/>
    <mergeCell ref="UCD12:UCE12"/>
    <mergeCell ref="UCT12:UCU12"/>
    <mergeCell ref="UDJ12:UDK12"/>
    <mergeCell ref="UDZ12:UEA12"/>
    <mergeCell ref="UTJ12:UTK12"/>
    <mergeCell ref="UTZ12:UUA12"/>
    <mergeCell ref="UUP12:UUQ12"/>
    <mergeCell ref="UVF12:UVG12"/>
    <mergeCell ref="UVV12:UVW12"/>
    <mergeCell ref="UWL12:UWM12"/>
    <mergeCell ref="UPR12:UPS12"/>
    <mergeCell ref="UQH12:UQI12"/>
    <mergeCell ref="UQX12:UQY12"/>
    <mergeCell ref="URN12:URO12"/>
    <mergeCell ref="USD12:USE12"/>
    <mergeCell ref="UST12:USU12"/>
    <mergeCell ref="ULZ12:UMA12"/>
    <mergeCell ref="UMP12:UMQ12"/>
    <mergeCell ref="UNF12:UNG12"/>
    <mergeCell ref="UNV12:UNW12"/>
    <mergeCell ref="UOL12:UOM12"/>
    <mergeCell ref="UPB12:UPC12"/>
    <mergeCell ref="VEL12:VEM12"/>
    <mergeCell ref="VFB12:VFC12"/>
    <mergeCell ref="VFR12:VFS12"/>
    <mergeCell ref="VGH12:VGI12"/>
    <mergeCell ref="VGX12:VGY12"/>
    <mergeCell ref="VHN12:VHO12"/>
    <mergeCell ref="VAT12:VAU12"/>
    <mergeCell ref="VBJ12:VBK12"/>
    <mergeCell ref="VBZ12:VCA12"/>
    <mergeCell ref="VCP12:VCQ12"/>
    <mergeCell ref="VDF12:VDG12"/>
    <mergeCell ref="VDV12:VDW12"/>
    <mergeCell ref="UXB12:UXC12"/>
    <mergeCell ref="UXR12:UXS12"/>
    <mergeCell ref="UYH12:UYI12"/>
    <mergeCell ref="UYX12:UYY12"/>
    <mergeCell ref="UZN12:UZO12"/>
    <mergeCell ref="VAD12:VAE12"/>
    <mergeCell ref="VPN12:VPO12"/>
    <mergeCell ref="VQD12:VQE12"/>
    <mergeCell ref="VQT12:VQU12"/>
    <mergeCell ref="VRJ12:VRK12"/>
    <mergeCell ref="VRZ12:VSA12"/>
    <mergeCell ref="VSP12:VSQ12"/>
    <mergeCell ref="VLV12:VLW12"/>
    <mergeCell ref="VML12:VMM12"/>
    <mergeCell ref="VNB12:VNC12"/>
    <mergeCell ref="VNR12:VNS12"/>
    <mergeCell ref="VOH12:VOI12"/>
    <mergeCell ref="VOX12:VOY12"/>
    <mergeCell ref="VID12:VIE12"/>
    <mergeCell ref="VIT12:VIU12"/>
    <mergeCell ref="VJJ12:VJK12"/>
    <mergeCell ref="VJZ12:VKA12"/>
    <mergeCell ref="VKP12:VKQ12"/>
    <mergeCell ref="VLF12:VLG12"/>
    <mergeCell ref="WAP12:WAQ12"/>
    <mergeCell ref="WBF12:WBG12"/>
    <mergeCell ref="WBV12:WBW12"/>
    <mergeCell ref="WCL12:WCM12"/>
    <mergeCell ref="WDB12:WDC12"/>
    <mergeCell ref="WDR12:WDS12"/>
    <mergeCell ref="VWX12:VWY12"/>
    <mergeCell ref="VXN12:VXO12"/>
    <mergeCell ref="VYD12:VYE12"/>
    <mergeCell ref="VYT12:VYU12"/>
    <mergeCell ref="VZJ12:VZK12"/>
    <mergeCell ref="VZZ12:WAA12"/>
    <mergeCell ref="VTF12:VTG12"/>
    <mergeCell ref="VTV12:VTW12"/>
    <mergeCell ref="VUL12:VUM12"/>
    <mergeCell ref="VVB12:VVC12"/>
    <mergeCell ref="VVR12:VVS12"/>
    <mergeCell ref="VWH12:VWI12"/>
    <mergeCell ref="WLR12:WLS12"/>
    <mergeCell ref="WMH12:WMI12"/>
    <mergeCell ref="WMX12:WMY12"/>
    <mergeCell ref="WNN12:WNO12"/>
    <mergeCell ref="WOD12:WOE12"/>
    <mergeCell ref="WOT12:WOU12"/>
    <mergeCell ref="WHZ12:WIA12"/>
    <mergeCell ref="WIP12:WIQ12"/>
    <mergeCell ref="WJF12:WJG12"/>
    <mergeCell ref="WJV12:WJW12"/>
    <mergeCell ref="WKL12:WKM12"/>
    <mergeCell ref="WLB12:WLC12"/>
    <mergeCell ref="WEH12:WEI12"/>
    <mergeCell ref="WEX12:WEY12"/>
    <mergeCell ref="WFN12:WFO12"/>
    <mergeCell ref="WGD12:WGE12"/>
    <mergeCell ref="WGT12:WGU12"/>
    <mergeCell ref="WHJ12:WHK12"/>
    <mergeCell ref="XED12:XEE12"/>
    <mergeCell ref="XET12:XEU12"/>
    <mergeCell ref="F13:G13"/>
    <mergeCell ref="F14:G14"/>
    <mergeCell ref="F15:G15"/>
    <mergeCell ref="F19:G19"/>
    <mergeCell ref="H12:P13"/>
    <mergeCell ref="H14:P15"/>
    <mergeCell ref="XAL12:XAM12"/>
    <mergeCell ref="XBB12:XBC12"/>
    <mergeCell ref="XBR12:XBS12"/>
    <mergeCell ref="XCH12:XCI12"/>
    <mergeCell ref="XCX12:XCY12"/>
    <mergeCell ref="XDN12:XDO12"/>
    <mergeCell ref="WWT12:WWU12"/>
    <mergeCell ref="WXJ12:WXK12"/>
    <mergeCell ref="WXZ12:WYA12"/>
    <mergeCell ref="WYP12:WYQ12"/>
    <mergeCell ref="WZF12:WZG12"/>
    <mergeCell ref="WZV12:WZW12"/>
    <mergeCell ref="WTB12:WTC12"/>
    <mergeCell ref="WTR12:WTS12"/>
    <mergeCell ref="WUH12:WUI12"/>
    <mergeCell ref="WUX12:WUY12"/>
    <mergeCell ref="WVN12:WVO12"/>
    <mergeCell ref="WWD12:WWE12"/>
    <mergeCell ref="WPJ12:WPK12"/>
    <mergeCell ref="WPZ12:WQA12"/>
    <mergeCell ref="WQP12:WQQ12"/>
    <mergeCell ref="WRF12:WRG12"/>
    <mergeCell ref="WRV12:WRW12"/>
    <mergeCell ref="WSL12:WSM12"/>
  </mergeCells>
  <conditionalFormatting sqref="H14:P15">
    <cfRule type="expression" dxfId="11" priority="34">
      <formula>"$F$14&gt;(ArcResistance*'1) Data Entry'!E25)"</formula>
    </cfRule>
  </conditionalFormatting>
  <conditionalFormatting sqref="H18:P18">
    <cfRule type="expression" dxfId="10" priority="4">
      <formula>F18&lt;=LoadabilityLimit</formula>
    </cfRule>
  </conditionalFormatting>
  <conditionalFormatting sqref="A6:P19">
    <cfRule type="expression" dxfId="9" priority="2">
      <formula>PRC_023_3_BIT&lt;1</formula>
    </cfRule>
  </conditionalFormatting>
  <pageMargins left="0.7" right="0.7" top="0.75" bottom="0.75" header="0.3" footer="0.3"/>
  <pageSetup scale="61" fitToHeight="0" orientation="portrait" r:id="rId1"/>
  <extLst>
    <ext xmlns:x14="http://schemas.microsoft.com/office/spreadsheetml/2009/9/main" uri="{78C0D931-6437-407d-A8EE-F0AAD7539E65}">
      <x14:conditionalFormattings>
        <x14:conditionalFormatting xmlns:xm="http://schemas.microsoft.com/office/excel/2006/main">
          <x14:cfRule type="expression" priority="31" id="{DDBE5234-CE38-42BB-BEFA-B113983858F1}">
            <xm:f>OR(F15&lt;(ArcResistance*CTR_PTR),AND(F17&gt;ROUND('10) SOTF'!E10*0.85*1000/(SQRT(3)*'10) SOTF'!E8),2),F16&lt;LoadabilityLimit),F18&lt;LoadabilityLimit)</xm:f>
            <x14:dxf>
              <fill>
                <patternFill>
                  <bgColor rgb="FFFF0000"/>
                </patternFill>
              </fill>
            </x14:dxf>
          </x14:cfRule>
          <x14:cfRule type="expression" priority="55" id="{8DB15421-07A0-4A38-BA3D-687AD478CD7C}">
            <xm:f>AND(F15&gt;(ArcResistance*CTR_PTR),OR(F17&lt;ROUND('10) SOTF'!E10*0.85*1000/(SQRT(3)*'10) SOTF'!E8),2),AND(F17&gt;ROUND('10) SOTF'!E10*0.85*1000/(SQRT(3)*'10) SOTF'!E8),2),F16&gt;LoadabilityLimit)),F18&gt;LoadabilityLimit)</xm:f>
            <x14:dxf>
              <fill>
                <patternFill>
                  <bgColor rgb="FF92D050"/>
                </patternFill>
              </fill>
            </x14:dxf>
          </x14:cfRule>
          <xm:sqref>A7:P7</xm:sqref>
        </x14:conditionalFormatting>
        <x14:conditionalFormatting xmlns:xm="http://schemas.microsoft.com/office/excel/2006/main">
          <x14:cfRule type="expression" priority="33" id="{4088D80E-70DC-4C26-A556-BDF2A21B020A}">
            <xm:f>$F$15&lt;=(ArcResistance*'1) Data Entry'!E25)</xm:f>
            <x14:dxf>
              <fill>
                <patternFill>
                  <bgColor rgb="FFFF0000"/>
                </patternFill>
              </fill>
            </x14:dxf>
          </x14:cfRule>
          <xm:sqref>H14:P15</xm:sqref>
        </x14:conditionalFormatting>
        <x14:conditionalFormatting xmlns:xm="http://schemas.microsoft.com/office/excel/2006/main">
          <x14:cfRule type="expression" priority="8" id="{9C4126B7-6A20-4260-A757-5F6AAA135BF5}">
            <xm:f>AND($F$17&gt;ROUND('10) SOTF'!E10*0.85*1000/(SQRT(3)*'10) SOTF'!E8),2),$F$16&lt;$F$11)</xm:f>
            <x14:dxf>
              <fill>
                <patternFill>
                  <bgColor rgb="FFFF0000"/>
                </patternFill>
              </fill>
            </x14:dxf>
          </x14:cfRule>
          <x14:cfRule type="expression" priority="9" id="{9DDE79B0-B0FE-49D2-BA61-E0C475307C27}">
            <xm:f>F16&gt;'10) SOTF'!E6 *'1) Data Entry'!Q36</xm:f>
            <x14:dxf>
              <fill>
                <patternFill>
                  <bgColor rgb="FF92D050"/>
                </patternFill>
              </fill>
            </x14:dxf>
          </x14:cfRule>
          <xm:sqref>H16</xm:sqref>
        </x14:conditionalFormatting>
        <x14:conditionalFormatting xmlns:xm="http://schemas.microsoft.com/office/excel/2006/main">
          <x14:cfRule type="expression" priority="5" id="{6165D087-1D92-4D46-941B-F669D45463F7}">
            <xm:f>F18&gt;'10) SOTF'!E6 *'1) Data Entry'!Q36</xm:f>
            <x14:dxf>
              <fill>
                <patternFill>
                  <bgColor rgb="FF92D050"/>
                </patternFill>
              </fill>
            </x14:dxf>
          </x14:cfRule>
          <xm:sqref>H18:P18</xm:sqref>
        </x14:conditionalFormatting>
        <x14:conditionalFormatting xmlns:xm="http://schemas.microsoft.com/office/excel/2006/main">
          <x14:cfRule type="expression" priority="3" id="{8EC20ACF-14BB-4D03-AED0-0D968A8C09B4}">
            <xm:f>'1) Data Entry'!$AB$343&lt;1</xm:f>
            <x14:dxf>
              <fill>
                <patternFill patternType="none">
                  <bgColor auto="1"/>
                </patternFill>
              </fill>
            </x14:dxf>
          </x14:cfRule>
          <xm:sqref>C31:E31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M33"/>
  <sheetViews>
    <sheetView showGridLines="0" zoomScaleNormal="100" zoomScaleSheetLayoutView="100" workbookViewId="0"/>
  </sheetViews>
  <sheetFormatPr defaultRowHeight="13.2"/>
  <sheetData>
    <row r="1" spans="1:13" ht="18" customHeight="1">
      <c r="A1" s="451" t="s">
        <v>1617</v>
      </c>
      <c r="B1" s="295"/>
      <c r="C1" s="295"/>
      <c r="D1" s="295"/>
      <c r="E1" s="295"/>
      <c r="F1" s="295"/>
      <c r="G1" s="295"/>
      <c r="H1" s="295"/>
      <c r="I1" s="295"/>
      <c r="J1" s="295"/>
      <c r="K1" s="295"/>
      <c r="L1" s="295"/>
      <c r="M1" s="296"/>
    </row>
    <row r="2" spans="1:13" ht="12" customHeight="1">
      <c r="A2" s="297"/>
      <c r="M2" s="1117"/>
    </row>
    <row r="3" spans="1:13" ht="15.6">
      <c r="A3" s="681" t="s">
        <v>1618</v>
      </c>
      <c r="M3" s="1117"/>
    </row>
    <row r="4" spans="1:13">
      <c r="A4" s="681"/>
      <c r="B4" s="1745" t="s">
        <v>1619</v>
      </c>
      <c r="C4" s="2166"/>
      <c r="D4" s="2166"/>
      <c r="E4" s="2166"/>
      <c r="F4" s="2166"/>
      <c r="G4" s="2166"/>
      <c r="H4" s="2166"/>
      <c r="I4" s="2166"/>
      <c r="J4" s="2166"/>
      <c r="K4" s="2166"/>
      <c r="L4" s="2166"/>
      <c r="M4" s="2167"/>
    </row>
    <row r="5" spans="1:13">
      <c r="A5" s="681"/>
      <c r="B5" s="1745"/>
      <c r="C5" s="2166"/>
      <c r="D5" s="2166"/>
      <c r="E5" s="2166"/>
      <c r="F5" s="2166"/>
      <c r="G5" s="2166"/>
      <c r="H5" s="2166"/>
      <c r="I5" s="2166"/>
      <c r="J5" s="2166"/>
      <c r="K5" s="2166"/>
      <c r="L5" s="2166"/>
      <c r="M5" s="2167"/>
    </row>
    <row r="6" spans="1:13">
      <c r="A6" s="681"/>
      <c r="B6" s="2166"/>
      <c r="C6" s="2166"/>
      <c r="D6" s="2166"/>
      <c r="E6" s="2166"/>
      <c r="F6" s="2166"/>
      <c r="G6" s="2166"/>
      <c r="H6" s="2166"/>
      <c r="I6" s="2166"/>
      <c r="J6" s="2166"/>
      <c r="K6" s="2166"/>
      <c r="L6" s="2166"/>
      <c r="M6" s="2167"/>
    </row>
    <row r="7" spans="1:13">
      <c r="A7" s="297"/>
      <c r="M7" s="1117"/>
    </row>
    <row r="8" spans="1:13">
      <c r="A8" s="681" t="s">
        <v>1620</v>
      </c>
      <c r="M8" s="1117"/>
    </row>
    <row r="9" spans="1:13">
      <c r="A9" s="297"/>
      <c r="M9" s="1117"/>
    </row>
    <row r="10" spans="1:13">
      <c r="A10" s="297" t="s">
        <v>1621</v>
      </c>
      <c r="M10" s="1117"/>
    </row>
    <row r="11" spans="1:13">
      <c r="A11" s="297"/>
      <c r="M11" s="1117"/>
    </row>
    <row r="12" spans="1:13">
      <c r="A12" s="297" t="s">
        <v>1622</v>
      </c>
      <c r="M12" s="1117"/>
    </row>
    <row r="13" spans="1:13">
      <c r="A13" s="297"/>
      <c r="M13" s="1117"/>
    </row>
    <row r="14" spans="1:13">
      <c r="A14" s="681" t="s">
        <v>1623</v>
      </c>
      <c r="M14" s="1117"/>
    </row>
    <row r="15" spans="1:13">
      <c r="A15" s="297"/>
      <c r="M15" s="1117"/>
    </row>
    <row r="16" spans="1:13">
      <c r="A16" s="681" t="s">
        <v>1624</v>
      </c>
      <c r="M16" s="1117"/>
    </row>
    <row r="17" spans="1:13" ht="13.8" thickBot="1">
      <c r="A17" s="297"/>
      <c r="B17" s="670" t="s">
        <v>1625</v>
      </c>
      <c r="M17" s="1117"/>
    </row>
    <row r="18" spans="1:13" s="586" customFormat="1" ht="33" customHeight="1" thickBot="1">
      <c r="A18" s="588"/>
      <c r="B18" s="2170" t="s">
        <v>1530</v>
      </c>
      <c r="C18" s="2171"/>
      <c r="D18" s="2171" t="s">
        <v>1626</v>
      </c>
      <c r="E18" s="2171"/>
      <c r="F18" s="2171" t="s">
        <v>1627</v>
      </c>
      <c r="G18" s="2171"/>
      <c r="H18" s="2171" t="s">
        <v>1628</v>
      </c>
      <c r="I18" s="2178"/>
      <c r="M18" s="585"/>
    </row>
    <row r="19" spans="1:13" ht="15.75" customHeight="1">
      <c r="A19" s="297"/>
      <c r="B19" s="2182" t="s">
        <v>1629</v>
      </c>
      <c r="C19" s="2176"/>
      <c r="D19" s="2175" t="s">
        <v>1630</v>
      </c>
      <c r="E19" s="2176"/>
      <c r="F19" s="2175" t="s">
        <v>1631</v>
      </c>
      <c r="G19" s="2176"/>
      <c r="H19" s="2175" t="s">
        <v>1632</v>
      </c>
      <c r="I19" s="2179"/>
      <c r="M19" s="1117"/>
    </row>
    <row r="20" spans="1:13" ht="15.75" customHeight="1">
      <c r="A20" s="297"/>
      <c r="B20" s="2172" t="s">
        <v>1633</v>
      </c>
      <c r="C20" s="2173"/>
      <c r="D20" s="2177" t="s">
        <v>1629</v>
      </c>
      <c r="E20" s="2173"/>
      <c r="F20" s="2177" t="s">
        <v>1634</v>
      </c>
      <c r="G20" s="2173"/>
      <c r="H20" s="2177" t="s">
        <v>1635</v>
      </c>
      <c r="I20" s="2180"/>
      <c r="M20" s="1117"/>
    </row>
    <row r="21" spans="1:13" ht="15.75" customHeight="1">
      <c r="A21" s="297"/>
      <c r="B21" s="2172" t="s">
        <v>1636</v>
      </c>
      <c r="C21" s="2173"/>
      <c r="D21" s="2177" t="s">
        <v>1637</v>
      </c>
      <c r="E21" s="2173"/>
      <c r="F21" s="2177" t="s">
        <v>1638</v>
      </c>
      <c r="G21" s="2173"/>
      <c r="H21" s="2177" t="s">
        <v>1632</v>
      </c>
      <c r="I21" s="2180"/>
      <c r="M21" s="1117"/>
    </row>
    <row r="22" spans="1:13" ht="15.75" customHeight="1">
      <c r="A22" s="297"/>
      <c r="B22" s="2172" t="s">
        <v>1639</v>
      </c>
      <c r="C22" s="2173"/>
      <c r="D22" s="2177" t="s">
        <v>1640</v>
      </c>
      <c r="E22" s="2173"/>
      <c r="F22" s="2177" t="s">
        <v>1641</v>
      </c>
      <c r="G22" s="2173"/>
      <c r="H22" s="2177" t="s">
        <v>1642</v>
      </c>
      <c r="I22" s="2180"/>
      <c r="M22" s="1117"/>
    </row>
    <row r="23" spans="1:13" ht="15.75" customHeight="1">
      <c r="A23" s="297"/>
      <c r="B23" s="2172" t="s">
        <v>1643</v>
      </c>
      <c r="C23" s="2173"/>
      <c r="D23" s="2177" t="s">
        <v>1636</v>
      </c>
      <c r="E23" s="2173"/>
      <c r="F23" s="2177" t="s">
        <v>1644</v>
      </c>
      <c r="G23" s="2173"/>
      <c r="H23" s="2177" t="s">
        <v>1635</v>
      </c>
      <c r="I23" s="2180"/>
      <c r="M23" s="1117"/>
    </row>
    <row r="24" spans="1:13" ht="15.75" customHeight="1">
      <c r="A24" s="297"/>
      <c r="B24" s="2172" t="s">
        <v>1645</v>
      </c>
      <c r="C24" s="2173"/>
      <c r="D24" s="2177" t="s">
        <v>1646</v>
      </c>
      <c r="E24" s="2173"/>
      <c r="F24" s="2177" t="s">
        <v>1647</v>
      </c>
      <c r="G24" s="2173"/>
      <c r="H24" s="2177" t="s">
        <v>1635</v>
      </c>
      <c r="I24" s="2180"/>
      <c r="M24" s="1117"/>
    </row>
    <row r="25" spans="1:13" ht="16.5" customHeight="1" thickBot="1">
      <c r="A25" s="297"/>
      <c r="B25" s="2174" t="s">
        <v>1648</v>
      </c>
      <c r="C25" s="2169"/>
      <c r="D25" s="2168" t="s">
        <v>1649</v>
      </c>
      <c r="E25" s="2169"/>
      <c r="F25" s="2168" t="s">
        <v>1650</v>
      </c>
      <c r="G25" s="2169"/>
      <c r="H25" s="2168" t="s">
        <v>1651</v>
      </c>
      <c r="I25" s="2181"/>
      <c r="M25" s="1117"/>
    </row>
    <row r="26" spans="1:13">
      <c r="A26" s="297"/>
      <c r="M26" s="1117"/>
    </row>
    <row r="27" spans="1:13">
      <c r="A27" s="681" t="s">
        <v>1652</v>
      </c>
      <c r="M27" s="1117"/>
    </row>
    <row r="28" spans="1:13">
      <c r="A28" s="297"/>
      <c r="M28" s="1117"/>
    </row>
    <row r="29" spans="1:13">
      <c r="A29" s="297"/>
      <c r="M29" s="1117"/>
    </row>
    <row r="30" spans="1:13">
      <c r="A30" s="297"/>
      <c r="M30" s="1117"/>
    </row>
    <row r="31" spans="1:13">
      <c r="A31" s="297"/>
      <c r="M31" s="1117"/>
    </row>
    <row r="32" spans="1:13">
      <c r="A32" s="297"/>
      <c r="M32" s="1117"/>
    </row>
    <row r="33" spans="1:13">
      <c r="A33" s="299"/>
      <c r="B33" s="151"/>
      <c r="C33" s="151"/>
      <c r="D33" s="151"/>
      <c r="E33" s="151"/>
      <c r="F33" s="151"/>
      <c r="G33" s="151"/>
      <c r="H33" s="151"/>
      <c r="I33" s="151"/>
      <c r="J33" s="151"/>
      <c r="K33" s="151"/>
      <c r="L33" s="151"/>
      <c r="M33" s="298"/>
    </row>
  </sheetData>
  <sheetProtection algorithmName="SHA-512" hashValue="VE/IMabp6IRJWBdxYvmT3gnBFCh37OcPtTwIfnHwYwumRRa3kzFXDDYkQFg5KeWxZHuzTLSPEj4zqbCQ4D4nKA==" saltValue="om5vfH+NFudUE4CZdI0GeA==" spinCount="100000" sheet="1" objects="1" scenarios="1"/>
  <mergeCells count="33">
    <mergeCell ref="B19:C19"/>
    <mergeCell ref="F23:G23"/>
    <mergeCell ref="F22:G22"/>
    <mergeCell ref="F21:G21"/>
    <mergeCell ref="F20:G20"/>
    <mergeCell ref="B21:C21"/>
    <mergeCell ref="D22:E22"/>
    <mergeCell ref="B20:C20"/>
    <mergeCell ref="D23:E23"/>
    <mergeCell ref="B22:C22"/>
    <mergeCell ref="D24:E24"/>
    <mergeCell ref="H23:I23"/>
    <mergeCell ref="H24:I24"/>
    <mergeCell ref="H25:I25"/>
    <mergeCell ref="B23:C23"/>
    <mergeCell ref="F24:G24"/>
    <mergeCell ref="F25:G25"/>
    <mergeCell ref="B4:M6"/>
    <mergeCell ref="D25:E25"/>
    <mergeCell ref="B18:C18"/>
    <mergeCell ref="F18:G18"/>
    <mergeCell ref="B24:C24"/>
    <mergeCell ref="B25:C25"/>
    <mergeCell ref="D18:E18"/>
    <mergeCell ref="D19:E19"/>
    <mergeCell ref="D20:E20"/>
    <mergeCell ref="D21:E21"/>
    <mergeCell ref="H18:I18"/>
    <mergeCell ref="H19:I19"/>
    <mergeCell ref="H20:I20"/>
    <mergeCell ref="H21:I21"/>
    <mergeCell ref="H22:I22"/>
    <mergeCell ref="F19:G19"/>
  </mergeCells>
  <phoneticPr fontId="74" type="noConversion"/>
  <pageMargins left="0.7" right="0.7" top="0.75" bottom="0.75" header="0.3" footer="0.3"/>
  <pageSetup paperSize="17" orientation="landscape" r:id="rId1"/>
  <headerFooter>
    <oddFooter>&amp;RFilename:&amp;F
Tab:&amp;A</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
  <sheetViews>
    <sheetView zoomScaleNormal="100" zoomScaleSheetLayoutView="100" workbookViewId="0">
      <selection activeCell="P33" sqref="P33"/>
    </sheetView>
  </sheetViews>
  <sheetFormatPr defaultRowHeight="13.2"/>
  <sheetData/>
  <sheetProtection algorithmName="SHA-512" hashValue="31UaLkVw5P0/8WnYzGxwJhFGg61O2U1pScZY8JGYIsHAffiAqRMD1Qjzz6YO8RTOwhElHHhqJHEfrADNsKltJg==" saltValue="ut3sq3Y75E6nUTTyD8gkuA==" spinCount="100000" sheet="1" objects="1" scenarios="1"/>
  <pageMargins left="0.7" right="0.7" top="0.75" bottom="0.75" header="0.3" footer="0.3"/>
  <pageSetup paperSize="17" orientation="landscape" r:id="rId1"/>
  <headerFooter>
    <oddFooter>&amp;RFilename:&amp;F
Tab:&amp;A</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A1:O225"/>
  <sheetViews>
    <sheetView showGridLines="0" zoomScaleNormal="100" workbookViewId="0">
      <selection activeCell="E11" sqref="E11:I11"/>
    </sheetView>
  </sheetViews>
  <sheetFormatPr defaultRowHeight="13.2"/>
  <cols>
    <col min="1" max="1" width="25" customWidth="1"/>
    <col min="3" max="3" width="10.109375" customWidth="1"/>
    <col min="4" max="4" width="16.33203125" customWidth="1"/>
    <col min="15" max="15" width="40.44140625" hidden="1" customWidth="1"/>
  </cols>
  <sheetData>
    <row r="1" spans="1:15">
      <c r="A1" s="1505">
        <f>'1) Data Entry'!Relay_Location</f>
        <v>0</v>
      </c>
      <c r="B1" s="1459"/>
      <c r="C1" s="1460"/>
      <c r="D1" s="364"/>
      <c r="E1" s="1217">
        <f>'1) Data Entry'!K3</f>
        <v>0</v>
      </c>
      <c r="G1" s="1505">
        <f>'1) Data Entry'!Remote_Location</f>
        <v>0</v>
      </c>
      <c r="H1" s="1459"/>
      <c r="I1" s="1460"/>
      <c r="L1" s="587" t="s">
        <v>3</v>
      </c>
      <c r="M1" s="1218">
        <f>'1) Data Entry'!M1</f>
        <v>0</v>
      </c>
      <c r="N1" s="21"/>
      <c r="O1" s="670" t="s">
        <v>1653</v>
      </c>
    </row>
    <row r="2" spans="1:15">
      <c r="A2" s="2200" t="s">
        <v>4</v>
      </c>
      <c r="B2" s="2200"/>
      <c r="C2" s="2200"/>
      <c r="D2" s="28"/>
      <c r="E2" s="579" t="s">
        <v>5</v>
      </c>
      <c r="F2" s="26"/>
      <c r="G2" s="2200" t="s">
        <v>6</v>
      </c>
      <c r="H2" s="2200"/>
      <c r="I2" s="2200"/>
      <c r="J2" s="1123"/>
      <c r="K2" s="26"/>
      <c r="L2" s="587" t="s">
        <v>7</v>
      </c>
      <c r="M2" s="1219">
        <f>'1) Data Entry'!Calc_By</f>
        <v>0</v>
      </c>
      <c r="N2" s="30"/>
    </row>
    <row r="3" spans="1:15">
      <c r="A3" s="896"/>
      <c r="B3" s="25"/>
      <c r="C3" s="28"/>
      <c r="D3" s="28"/>
      <c r="E3" s="26"/>
      <c r="F3" s="26"/>
      <c r="G3" s="25"/>
      <c r="H3" s="28"/>
      <c r="I3" s="28"/>
      <c r="J3" s="1123"/>
      <c r="K3" s="26"/>
      <c r="L3" s="587" t="s">
        <v>8</v>
      </c>
      <c r="M3" s="1219">
        <f>'1) Data Entry'!Checked_By</f>
        <v>0</v>
      </c>
      <c r="N3" s="30"/>
    </row>
    <row r="4" spans="1:15" ht="12.75" customHeight="1">
      <c r="A4" s="2218" t="s">
        <v>1654</v>
      </c>
      <c r="B4" s="2218"/>
      <c r="C4" s="2218"/>
      <c r="D4" s="2218"/>
      <c r="E4" s="2218"/>
      <c r="F4" s="2218"/>
      <c r="G4" s="2218"/>
      <c r="H4" s="2218"/>
      <c r="I4" s="2218"/>
      <c r="J4" s="2218"/>
      <c r="K4" s="2218"/>
      <c r="L4" s="2218"/>
      <c r="M4" s="2218"/>
      <c r="N4" s="30"/>
    </row>
    <row r="5" spans="1:15" ht="20.25" customHeight="1">
      <c r="A5" s="2218"/>
      <c r="B5" s="2218"/>
      <c r="C5" s="2218"/>
      <c r="D5" s="2218"/>
      <c r="E5" s="2218"/>
      <c r="F5" s="2218"/>
      <c r="G5" s="2218"/>
      <c r="H5" s="2218"/>
      <c r="I5" s="2218"/>
      <c r="J5" s="2218"/>
      <c r="K5" s="2218"/>
      <c r="L5" s="2218"/>
      <c r="M5" s="2218"/>
      <c r="N5" s="30"/>
    </row>
    <row r="6" spans="1:15" ht="42" customHeight="1" thickBot="1">
      <c r="A6" s="2219"/>
      <c r="B6" s="2219"/>
      <c r="C6" s="2219"/>
      <c r="D6" s="2219"/>
      <c r="E6" s="2219"/>
      <c r="F6" s="2219"/>
      <c r="G6" s="2219"/>
      <c r="H6" s="2219"/>
      <c r="I6" s="2219"/>
      <c r="J6" s="2219"/>
      <c r="K6" s="2219"/>
      <c r="L6" s="2219"/>
      <c r="M6" s="2219"/>
      <c r="N6" s="30"/>
    </row>
    <row r="7" spans="1:15" ht="13.8" thickBot="1">
      <c r="A7" s="2193" t="s">
        <v>1655</v>
      </c>
      <c r="B7" s="2194"/>
      <c r="C7" s="2195" t="s">
        <v>1656</v>
      </c>
      <c r="D7" s="2195"/>
      <c r="E7" s="2201" t="s">
        <v>1657</v>
      </c>
      <c r="F7" s="2202"/>
      <c r="G7" s="2202"/>
      <c r="H7" s="2202"/>
      <c r="I7" s="2203"/>
      <c r="J7" s="2195" t="s">
        <v>1658</v>
      </c>
      <c r="K7" s="2195"/>
      <c r="L7" s="2195"/>
      <c r="M7" s="2194"/>
    </row>
    <row r="8" spans="1:15">
      <c r="A8" s="2196" t="s">
        <v>1659</v>
      </c>
      <c r="B8" s="2197"/>
      <c r="C8" s="2198" t="str">
        <f>MID('1) Data Entry'!G3&amp;","&amp;'1) Data Entry'!E16&amp;","&amp;'1) Data Entry'!M3&amp;","&amp;'1) Data Entry'!K3,1,39)</f>
        <v>,,,</v>
      </c>
      <c r="D8" s="2199"/>
      <c r="E8" s="2204" t="s">
        <v>1660</v>
      </c>
      <c r="F8" s="2205"/>
      <c r="G8" s="2205"/>
      <c r="H8" s="2205"/>
      <c r="I8" s="2206"/>
      <c r="J8" s="2207"/>
      <c r="K8" s="2207"/>
      <c r="L8" s="2207"/>
      <c r="M8" s="2197"/>
    </row>
    <row r="9" spans="1:15">
      <c r="A9" s="2191" t="s">
        <v>1661</v>
      </c>
      <c r="B9" s="2187"/>
      <c r="C9" s="2186">
        <f ca="1">CTR/5</f>
        <v>0</v>
      </c>
      <c r="D9" s="2186"/>
      <c r="E9" s="2183" t="s">
        <v>1662</v>
      </c>
      <c r="F9" s="2184"/>
      <c r="G9" s="2184"/>
      <c r="H9" s="2184"/>
      <c r="I9" s="2185"/>
      <c r="J9" s="2186" t="s">
        <v>1663</v>
      </c>
      <c r="K9" s="2186"/>
      <c r="L9" s="2186"/>
      <c r="M9" s="2187"/>
    </row>
    <row r="10" spans="1:15">
      <c r="A10" s="2191" t="s">
        <v>1664</v>
      </c>
      <c r="B10" s="2187"/>
      <c r="C10" s="2186">
        <f>_CTRX/5</f>
        <v>0</v>
      </c>
      <c r="D10" s="2186"/>
      <c r="E10" s="2183" t="s">
        <v>1665</v>
      </c>
      <c r="F10" s="2184"/>
      <c r="G10" s="2184"/>
      <c r="H10" s="2184"/>
      <c r="I10" s="2185"/>
      <c r="J10" s="2186" t="s">
        <v>1666</v>
      </c>
      <c r="K10" s="2186"/>
      <c r="L10" s="2186"/>
      <c r="M10" s="2187"/>
    </row>
    <row r="11" spans="1:15">
      <c r="A11" s="2191" t="s">
        <v>1667</v>
      </c>
      <c r="B11" s="2187"/>
      <c r="C11" s="2186">
        <f ca="1">PTR</f>
        <v>0</v>
      </c>
      <c r="D11" s="2186"/>
      <c r="E11" s="2183" t="s">
        <v>1668</v>
      </c>
      <c r="F11" s="2184"/>
      <c r="G11" s="2184"/>
      <c r="H11" s="2184"/>
      <c r="I11" s="2185"/>
      <c r="J11" s="2186" t="s">
        <v>1669</v>
      </c>
      <c r="K11" s="2186"/>
      <c r="L11" s="2186"/>
      <c r="M11" s="2187"/>
    </row>
    <row r="12" spans="1:15">
      <c r="A12" s="2191" t="s">
        <v>1670</v>
      </c>
      <c r="B12" s="2187"/>
      <c r="C12" s="2208" t="e">
        <f ca="1">'1) Data Entry'!E16*1000/PTR</f>
        <v>#DIV/0!</v>
      </c>
      <c r="D12" s="2208"/>
      <c r="E12" s="2183" t="s">
        <v>1671</v>
      </c>
      <c r="F12" s="2184"/>
      <c r="G12" s="2184"/>
      <c r="H12" s="2184"/>
      <c r="I12" s="2185"/>
      <c r="J12" s="2186" t="s">
        <v>1672</v>
      </c>
      <c r="K12" s="2186"/>
      <c r="L12" s="2186"/>
      <c r="M12" s="2187"/>
    </row>
    <row r="13" spans="1:15">
      <c r="A13" s="2191" t="s">
        <v>1673</v>
      </c>
      <c r="B13" s="2187"/>
      <c r="C13" s="2209">
        <f>_VAZR</f>
        <v>0</v>
      </c>
      <c r="D13" s="2186"/>
      <c r="E13" s="2183" t="s">
        <v>1674</v>
      </c>
      <c r="F13" s="2184"/>
      <c r="G13" s="2184"/>
      <c r="H13" s="2184"/>
      <c r="I13" s="2185"/>
      <c r="J13" s="2186" t="s">
        <v>1675</v>
      </c>
      <c r="K13" s="2186"/>
      <c r="L13" s="2186"/>
      <c r="M13" s="2187"/>
    </row>
    <row r="14" spans="1:15">
      <c r="A14" s="2191" t="s">
        <v>1676</v>
      </c>
      <c r="B14" s="2187"/>
      <c r="C14" s="2209" t="e">
        <f>'1) Data Entry'!E16*1000/_VAZR</f>
        <v>#DIV/0!</v>
      </c>
      <c r="D14" s="2209"/>
      <c r="E14" s="2183" t="s">
        <v>1677</v>
      </c>
      <c r="F14" s="2184"/>
      <c r="G14" s="2184"/>
      <c r="H14" s="2184"/>
      <c r="I14" s="2185"/>
      <c r="J14" s="2186" t="s">
        <v>1678</v>
      </c>
      <c r="K14" s="2186"/>
      <c r="L14" s="2186"/>
      <c r="M14" s="2187"/>
    </row>
    <row r="15" spans="1:15">
      <c r="A15" s="2191" t="s">
        <v>1025</v>
      </c>
      <c r="B15" s="2187"/>
      <c r="C15" s="2186" t="e">
        <f ca="1">_Z1MAG</f>
        <v>#DIV/0!</v>
      </c>
      <c r="D15" s="2186"/>
      <c r="E15" s="2183" t="s">
        <v>1679</v>
      </c>
      <c r="F15" s="2184"/>
      <c r="G15" s="2184"/>
      <c r="H15" s="2184"/>
      <c r="I15" s="2185"/>
      <c r="J15" s="2186" t="s">
        <v>1680</v>
      </c>
      <c r="K15" s="2186"/>
      <c r="L15" s="2186"/>
      <c r="M15" s="2187"/>
    </row>
    <row r="16" spans="1:15">
      <c r="A16" s="2191" t="s">
        <v>1027</v>
      </c>
      <c r="B16" s="2187"/>
      <c r="C16" s="2186" t="e">
        <f>_Z1ANG</f>
        <v>#DIV/0!</v>
      </c>
      <c r="D16" s="2186"/>
      <c r="E16" s="2183" t="s">
        <v>1681</v>
      </c>
      <c r="F16" s="2184"/>
      <c r="G16" s="2184"/>
      <c r="H16" s="2184"/>
      <c r="I16" s="2185"/>
      <c r="J16" s="2186" t="s">
        <v>1682</v>
      </c>
      <c r="K16" s="2186"/>
      <c r="L16" s="2186"/>
      <c r="M16" s="2187"/>
    </row>
    <row r="17" spans="1:13">
      <c r="A17" s="2191" t="s">
        <v>1049</v>
      </c>
      <c r="B17" s="2187"/>
      <c r="C17" s="2186" t="e">
        <f ca="1">_Z0MAG</f>
        <v>#DIV/0!</v>
      </c>
      <c r="D17" s="2186"/>
      <c r="E17" s="2183" t="s">
        <v>1683</v>
      </c>
      <c r="F17" s="2184"/>
      <c r="G17" s="2184"/>
      <c r="H17" s="2184"/>
      <c r="I17" s="2185"/>
      <c r="J17" s="2186" t="s">
        <v>1684</v>
      </c>
      <c r="K17" s="2186"/>
      <c r="L17" s="2186"/>
      <c r="M17" s="2187"/>
    </row>
    <row r="18" spans="1:13">
      <c r="A18" s="2191" t="s">
        <v>1050</v>
      </c>
      <c r="B18" s="2187"/>
      <c r="C18" s="2186" t="e">
        <f>_Z0ANG</f>
        <v>#DIV/0!</v>
      </c>
      <c r="D18" s="2186"/>
      <c r="E18" s="2183" t="s">
        <v>1685</v>
      </c>
      <c r="F18" s="2184"/>
      <c r="G18" s="2184"/>
      <c r="H18" s="2184"/>
      <c r="I18" s="2185"/>
      <c r="J18" s="2186" t="s">
        <v>1686</v>
      </c>
      <c r="K18" s="2186"/>
      <c r="L18" s="2186"/>
      <c r="M18" s="2187"/>
    </row>
    <row r="19" spans="1:13">
      <c r="A19" s="2191" t="s">
        <v>387</v>
      </c>
      <c r="B19" s="2187"/>
      <c r="C19" s="2208">
        <f>'1) Data Entry'!E59</f>
        <v>0</v>
      </c>
      <c r="D19" s="2186"/>
      <c r="E19" s="2183" t="s">
        <v>1687</v>
      </c>
      <c r="F19" s="2184"/>
      <c r="G19" s="2184"/>
      <c r="H19" s="2184"/>
      <c r="I19" s="2185"/>
      <c r="J19" s="2186" t="s">
        <v>714</v>
      </c>
      <c r="K19" s="2186"/>
      <c r="L19" s="2186"/>
      <c r="M19" s="2187"/>
    </row>
    <row r="20" spans="1:13">
      <c r="A20" s="2191" t="s">
        <v>1688</v>
      </c>
      <c r="B20" s="2187"/>
      <c r="C20" s="2210">
        <v>5</v>
      </c>
      <c r="D20" s="2211"/>
      <c r="E20" s="2183" t="s">
        <v>1689</v>
      </c>
      <c r="F20" s="2184"/>
      <c r="G20" s="2184"/>
      <c r="H20" s="2184"/>
      <c r="I20" s="2185"/>
      <c r="J20" s="2186" t="s">
        <v>1690</v>
      </c>
      <c r="K20" s="2186"/>
      <c r="L20" s="2186"/>
      <c r="M20" s="2187"/>
    </row>
    <row r="21" spans="1:13">
      <c r="A21" s="2191" t="s">
        <v>1691</v>
      </c>
      <c r="B21" s="2187"/>
      <c r="C21" s="2210">
        <v>5</v>
      </c>
      <c r="D21" s="2211"/>
      <c r="E21" s="2183" t="s">
        <v>1692</v>
      </c>
      <c r="F21" s="2184"/>
      <c r="G21" s="2184"/>
      <c r="H21" s="2184"/>
      <c r="I21" s="2185"/>
      <c r="J21" s="2186" t="s">
        <v>1693</v>
      </c>
      <c r="K21" s="2186"/>
      <c r="L21" s="2186"/>
      <c r="M21" s="2187"/>
    </row>
    <row r="22" spans="1:13">
      <c r="A22" s="2191" t="s">
        <v>1134</v>
      </c>
      <c r="B22" s="2187"/>
      <c r="C22" s="2186" t="e">
        <f ca="1">'7) Relay Calc'!H72</f>
        <v>#DIV/0!</v>
      </c>
      <c r="D22" s="2186"/>
      <c r="E22" s="2183" t="s">
        <v>1694</v>
      </c>
      <c r="F22" s="2184"/>
      <c r="G22" s="2184"/>
      <c r="H22" s="2184"/>
      <c r="I22" s="2185"/>
      <c r="J22" s="2186" t="s">
        <v>1695</v>
      </c>
      <c r="K22" s="2186"/>
      <c r="L22" s="2186"/>
      <c r="M22" s="2187"/>
    </row>
    <row r="23" spans="1:13">
      <c r="A23" s="2191" t="s">
        <v>1696</v>
      </c>
      <c r="B23" s="2187"/>
      <c r="C23" s="2210">
        <v>2</v>
      </c>
      <c r="D23" s="2211"/>
      <c r="E23" s="1413" t="s">
        <v>1697</v>
      </c>
      <c r="F23" s="1414"/>
      <c r="G23" s="1414"/>
      <c r="H23" s="1414"/>
      <c r="I23" s="1415"/>
      <c r="J23" s="2191" t="s">
        <v>1698</v>
      </c>
      <c r="K23" s="2186"/>
      <c r="L23" s="2186"/>
      <c r="M23" s="2187"/>
    </row>
    <row r="24" spans="1:13">
      <c r="A24" s="2191" t="s">
        <v>1699</v>
      </c>
      <c r="B24" s="2187"/>
      <c r="C24" s="2208" t="e">
        <f ca="1">'7) Relay Calc'!H51</f>
        <v>#DIV/0!</v>
      </c>
      <c r="D24" s="2186"/>
      <c r="E24" s="2183" t="s">
        <v>1700</v>
      </c>
      <c r="F24" s="2184"/>
      <c r="G24" s="2184"/>
      <c r="H24" s="2184"/>
      <c r="I24" s="2185"/>
      <c r="J24" s="2186" t="s">
        <v>1701</v>
      </c>
      <c r="K24" s="2186"/>
      <c r="L24" s="2186"/>
      <c r="M24" s="2187"/>
    </row>
    <row r="25" spans="1:13">
      <c r="A25" s="2191" t="s">
        <v>1702</v>
      </c>
      <c r="B25" s="2187"/>
      <c r="C25" s="2208" t="e">
        <f ca="1">'7) Relay Calc'!H52</f>
        <v>#DIV/0!</v>
      </c>
      <c r="D25" s="2186"/>
      <c r="E25" s="2183" t="s">
        <v>1703</v>
      </c>
      <c r="F25" s="2184"/>
      <c r="G25" s="2184"/>
      <c r="H25" s="2184"/>
      <c r="I25" s="2185"/>
      <c r="J25" s="2186" t="s">
        <v>1704</v>
      </c>
      <c r="K25" s="2186"/>
      <c r="L25" s="2186"/>
      <c r="M25" s="2187"/>
    </row>
    <row r="26" spans="1:13">
      <c r="A26" s="2191" t="s">
        <v>1705</v>
      </c>
      <c r="B26" s="2187"/>
      <c r="C26" s="2208" t="e">
        <f ca="1">'7) Relay Calc'!H53</f>
        <v>#DIV/0!</v>
      </c>
      <c r="D26" s="2186"/>
      <c r="E26" s="2183" t="s">
        <v>1706</v>
      </c>
      <c r="F26" s="2184"/>
      <c r="G26" s="2184"/>
      <c r="H26" s="2184"/>
      <c r="I26" s="2185"/>
      <c r="J26" s="2186" t="s">
        <v>1707</v>
      </c>
      <c r="K26" s="2186"/>
      <c r="L26" s="2186"/>
      <c r="M26" s="2187"/>
    </row>
    <row r="27" spans="1:13">
      <c r="A27" s="2191" t="s">
        <v>1708</v>
      </c>
      <c r="B27" s="2187"/>
      <c r="C27" s="2208" t="e">
        <f ca="1">'7) Relay Calc'!H54</f>
        <v>#DIV/0!</v>
      </c>
      <c r="D27" s="2186"/>
      <c r="E27" s="2183" t="s">
        <v>1709</v>
      </c>
      <c r="F27" s="2184"/>
      <c r="G27" s="2184"/>
      <c r="H27" s="2184"/>
      <c r="I27" s="2185"/>
      <c r="J27" s="2186" t="s">
        <v>1710</v>
      </c>
      <c r="K27" s="2186"/>
      <c r="L27" s="2186"/>
      <c r="M27" s="2187"/>
    </row>
    <row r="28" spans="1:13">
      <c r="A28" s="2191" t="s">
        <v>1711</v>
      </c>
      <c r="B28" s="2187"/>
      <c r="C28" s="2212" t="e">
        <f ca="1">'7) Relay Calc'!H55</f>
        <v>#DIV/0!</v>
      </c>
      <c r="D28" s="2213"/>
      <c r="E28" s="2183" t="s">
        <v>1712</v>
      </c>
      <c r="F28" s="2184"/>
      <c r="G28" s="2184"/>
      <c r="H28" s="2184"/>
      <c r="I28" s="2185"/>
      <c r="J28" s="2186" t="s">
        <v>1713</v>
      </c>
      <c r="K28" s="2186"/>
      <c r="L28" s="2186"/>
      <c r="M28" s="2187"/>
    </row>
    <row r="29" spans="1:13">
      <c r="A29" s="2191" t="s">
        <v>1714</v>
      </c>
      <c r="B29" s="2187"/>
      <c r="C29" s="2210">
        <v>50</v>
      </c>
      <c r="D29" s="2211"/>
      <c r="E29" s="2183" t="s">
        <v>1715</v>
      </c>
      <c r="F29" s="2184"/>
      <c r="G29" s="2184"/>
      <c r="H29" s="2184"/>
      <c r="I29" s="2185"/>
      <c r="J29" s="2186" t="s">
        <v>1716</v>
      </c>
      <c r="K29" s="2186"/>
      <c r="L29" s="2186"/>
      <c r="M29" s="2187"/>
    </row>
    <row r="30" spans="1:13">
      <c r="A30" s="2191" t="s">
        <v>1114</v>
      </c>
      <c r="B30" s="2187"/>
      <c r="C30" s="2208" t="e">
        <f ca="1">'7) Relay Calc'!H57</f>
        <v>#DIV/0!</v>
      </c>
      <c r="D30" s="2186"/>
      <c r="E30" s="2183" t="s">
        <v>1717</v>
      </c>
      <c r="F30" s="2184"/>
      <c r="G30" s="2184"/>
      <c r="H30" s="2184"/>
      <c r="I30" s="2185"/>
      <c r="J30" s="2186" t="s">
        <v>1718</v>
      </c>
      <c r="K30" s="2186"/>
      <c r="L30" s="2186"/>
      <c r="M30" s="2187"/>
    </row>
    <row r="31" spans="1:13">
      <c r="A31" s="2191" t="s">
        <v>1116</v>
      </c>
      <c r="B31" s="2187"/>
      <c r="C31" s="2208" t="e">
        <f ca="1">'7) Relay Calc'!H58</f>
        <v>#DIV/0!</v>
      </c>
      <c r="D31" s="2186"/>
      <c r="E31" s="2183" t="s">
        <v>1719</v>
      </c>
      <c r="F31" s="2184"/>
      <c r="G31" s="2184"/>
      <c r="H31" s="2184"/>
      <c r="I31" s="2185"/>
      <c r="J31" s="2186" t="s">
        <v>1720</v>
      </c>
      <c r="K31" s="2186"/>
      <c r="L31" s="2186"/>
      <c r="M31" s="2187"/>
    </row>
    <row r="32" spans="1:13">
      <c r="A32" s="2191" t="s">
        <v>1118</v>
      </c>
      <c r="B32" s="2187"/>
      <c r="C32" s="2208" t="e">
        <f ca="1">'7) Relay Calc'!H59</f>
        <v>#DIV/0!</v>
      </c>
      <c r="D32" s="2186"/>
      <c r="E32" s="2183" t="s">
        <v>1721</v>
      </c>
      <c r="F32" s="2184"/>
      <c r="G32" s="2184"/>
      <c r="H32" s="2184"/>
      <c r="I32" s="2185"/>
      <c r="J32" s="2186" t="s">
        <v>1722</v>
      </c>
      <c r="K32" s="2186"/>
      <c r="L32" s="2186"/>
      <c r="M32" s="2187"/>
    </row>
    <row r="33" spans="1:13">
      <c r="A33" s="2191" t="s">
        <v>1120</v>
      </c>
      <c r="B33" s="2187"/>
      <c r="C33" s="2208" t="e">
        <f ca="1">'7) Relay Calc'!H60</f>
        <v>#DIV/0!</v>
      </c>
      <c r="D33" s="2186"/>
      <c r="E33" s="2183" t="s">
        <v>1723</v>
      </c>
      <c r="F33" s="2184"/>
      <c r="G33" s="2184"/>
      <c r="H33" s="2184"/>
      <c r="I33" s="2185"/>
      <c r="J33" s="2186" t="s">
        <v>1724</v>
      </c>
      <c r="K33" s="2186"/>
      <c r="L33" s="2186"/>
      <c r="M33" s="2187"/>
    </row>
    <row r="34" spans="1:13">
      <c r="A34" s="2191" t="s">
        <v>1122</v>
      </c>
      <c r="B34" s="2187"/>
      <c r="C34" s="2208" t="e">
        <f ca="1">'7) Relay Calc'!H61</f>
        <v>#DIV/0!</v>
      </c>
      <c r="D34" s="2186"/>
      <c r="E34" s="2183" t="s">
        <v>1725</v>
      </c>
      <c r="F34" s="2184"/>
      <c r="G34" s="2184"/>
      <c r="H34" s="2184"/>
      <c r="I34" s="2185"/>
      <c r="J34" s="2186" t="s">
        <v>1726</v>
      </c>
      <c r="K34" s="2186"/>
      <c r="L34" s="2186"/>
      <c r="M34" s="2187"/>
    </row>
    <row r="35" spans="1:13">
      <c r="A35" s="2191" t="s">
        <v>1727</v>
      </c>
      <c r="B35" s="2187"/>
      <c r="C35" s="2208" t="e">
        <f ca="1">'7) Relay Calc'!D78</f>
        <v>#DIV/0!</v>
      </c>
      <c r="D35" s="2186"/>
      <c r="E35" s="2183" t="s">
        <v>1728</v>
      </c>
      <c r="F35" s="2184"/>
      <c r="G35" s="2184"/>
      <c r="H35" s="2184"/>
      <c r="I35" s="2185"/>
      <c r="J35" s="2186" t="s">
        <v>1729</v>
      </c>
      <c r="K35" s="2186"/>
      <c r="L35" s="2186"/>
      <c r="M35" s="2187"/>
    </row>
    <row r="36" spans="1:13">
      <c r="A36" s="2191" t="s">
        <v>1140</v>
      </c>
      <c r="B36" s="2187"/>
      <c r="C36" s="2208" t="e">
        <f ca="1">'7) Relay Calc'!L78</f>
        <v>#DIV/0!</v>
      </c>
      <c r="D36" s="2186"/>
      <c r="E36" s="2183" t="s">
        <v>1730</v>
      </c>
      <c r="F36" s="2184"/>
      <c r="G36" s="2184"/>
      <c r="H36" s="2184"/>
      <c r="I36" s="2185"/>
      <c r="J36" s="2186" t="s">
        <v>1729</v>
      </c>
      <c r="K36" s="2186"/>
      <c r="L36" s="2186"/>
      <c r="M36" s="2187"/>
    </row>
    <row r="37" spans="1:13">
      <c r="A37" s="2191" t="s">
        <v>1731</v>
      </c>
      <c r="B37" s="2187"/>
      <c r="C37" s="2208" t="e">
        <f ca="1">'7) Relay Calc'!D79</f>
        <v>#DIV/0!</v>
      </c>
      <c r="D37" s="2186"/>
      <c r="E37" s="2183" t="s">
        <v>1732</v>
      </c>
      <c r="F37" s="2184"/>
      <c r="G37" s="2184"/>
      <c r="H37" s="2184"/>
      <c r="I37" s="2185"/>
      <c r="J37" s="2186" t="s">
        <v>1733</v>
      </c>
      <c r="K37" s="2186"/>
      <c r="L37" s="2186"/>
      <c r="M37" s="2187"/>
    </row>
    <row r="38" spans="1:13">
      <c r="A38" s="2191" t="s">
        <v>1142</v>
      </c>
      <c r="B38" s="2187"/>
      <c r="C38" s="2208" t="e">
        <f ca="1">'7) Relay Calc'!L79</f>
        <v>#DIV/0!</v>
      </c>
      <c r="D38" s="2186"/>
      <c r="E38" s="2183" t="s">
        <v>1734</v>
      </c>
      <c r="F38" s="2184"/>
      <c r="G38" s="2184"/>
      <c r="H38" s="2184"/>
      <c r="I38" s="2185"/>
      <c r="J38" s="2186" t="s">
        <v>1733</v>
      </c>
      <c r="K38" s="2186"/>
      <c r="L38" s="2186"/>
      <c r="M38" s="2187"/>
    </row>
    <row r="39" spans="1:13">
      <c r="A39" s="2191" t="s">
        <v>1735</v>
      </c>
      <c r="B39" s="2187"/>
      <c r="C39" s="2208" t="e">
        <f ca="1">'7) Relay Calc'!D81</f>
        <v>#DIV/0!</v>
      </c>
      <c r="D39" s="2186"/>
      <c r="E39" s="2183" t="s">
        <v>1736</v>
      </c>
      <c r="F39" s="2184"/>
      <c r="G39" s="2184"/>
      <c r="H39" s="2184"/>
      <c r="I39" s="2185"/>
      <c r="J39" s="2186" t="s">
        <v>1737</v>
      </c>
      <c r="K39" s="2186"/>
      <c r="L39" s="2186"/>
      <c r="M39" s="2187"/>
    </row>
    <row r="40" spans="1:13">
      <c r="A40" s="2191" t="s">
        <v>1148</v>
      </c>
      <c r="B40" s="2187"/>
      <c r="C40" s="2208" t="e">
        <f ca="1">'7) Relay Calc'!L81</f>
        <v>#DIV/0!</v>
      </c>
      <c r="D40" s="2186"/>
      <c r="E40" s="2183" t="s">
        <v>1738</v>
      </c>
      <c r="F40" s="2184"/>
      <c r="G40" s="2184"/>
      <c r="H40" s="2184"/>
      <c r="I40" s="2185"/>
      <c r="J40" s="2186" t="s">
        <v>1737</v>
      </c>
      <c r="K40" s="2186"/>
      <c r="L40" s="2186"/>
      <c r="M40" s="2187"/>
    </row>
    <row r="41" spans="1:13">
      <c r="A41" s="2191" t="s">
        <v>1739</v>
      </c>
      <c r="B41" s="2187"/>
      <c r="C41" s="2208" t="e">
        <f ca="1">'7) Relay Calc'!D82</f>
        <v>#DIV/0!</v>
      </c>
      <c r="D41" s="2186"/>
      <c r="E41" s="2183" t="s">
        <v>1740</v>
      </c>
      <c r="F41" s="2184"/>
      <c r="G41" s="2184"/>
      <c r="H41" s="2184"/>
      <c r="I41" s="2185"/>
      <c r="J41" s="2186" t="s">
        <v>1741</v>
      </c>
      <c r="K41" s="2186"/>
      <c r="L41" s="2186"/>
      <c r="M41" s="2187"/>
    </row>
    <row r="42" spans="1:13">
      <c r="A42" s="2191" t="s">
        <v>1742</v>
      </c>
      <c r="B42" s="2187"/>
      <c r="C42" s="2208" t="e">
        <f ca="1">'7) Relay Calc'!L82</f>
        <v>#DIV/0!</v>
      </c>
      <c r="D42" s="2186"/>
      <c r="E42" s="2183" t="s">
        <v>1743</v>
      </c>
      <c r="F42" s="2184"/>
      <c r="G42" s="2184"/>
      <c r="H42" s="2184"/>
      <c r="I42" s="2185"/>
      <c r="J42" s="2186" t="s">
        <v>1741</v>
      </c>
      <c r="K42" s="2186"/>
      <c r="L42" s="2186"/>
      <c r="M42" s="2187"/>
    </row>
    <row r="43" spans="1:13">
      <c r="A43" s="2191" t="s">
        <v>1064</v>
      </c>
      <c r="B43" s="2187"/>
      <c r="C43" s="2186" t="e">
        <f ca="1">ROUND('7) Relay Calc'!D37,3)</f>
        <v>#DIV/0!</v>
      </c>
      <c r="D43" s="2186"/>
      <c r="E43" s="2183" t="s">
        <v>1744</v>
      </c>
      <c r="F43" s="2184"/>
      <c r="G43" s="2184"/>
      <c r="H43" s="2184"/>
      <c r="I43" s="2185"/>
      <c r="J43" s="2186" t="s">
        <v>1745</v>
      </c>
      <c r="K43" s="2186"/>
      <c r="L43" s="2186"/>
      <c r="M43" s="2187"/>
    </row>
    <row r="44" spans="1:13">
      <c r="A44" s="2191" t="s">
        <v>1066</v>
      </c>
      <c r="B44" s="2187"/>
      <c r="C44" s="2208" t="e">
        <f ca="1">'7) Relay Calc'!J37</f>
        <v>#DIV/0!</v>
      </c>
      <c r="D44" s="2208"/>
      <c r="E44" s="2183" t="s">
        <v>1746</v>
      </c>
      <c r="F44" s="2184"/>
      <c r="G44" s="2184"/>
      <c r="H44" s="2184"/>
      <c r="I44" s="2185"/>
      <c r="J44" s="2186" t="s">
        <v>1745</v>
      </c>
      <c r="K44" s="2186"/>
      <c r="L44" s="2186"/>
      <c r="M44" s="2187"/>
    </row>
    <row r="45" spans="1:13">
      <c r="A45" s="2191" t="s">
        <v>1747</v>
      </c>
      <c r="B45" s="2187"/>
      <c r="C45" s="2210">
        <v>50</v>
      </c>
      <c r="D45" s="2211"/>
      <c r="E45" s="2183" t="s">
        <v>1748</v>
      </c>
      <c r="F45" s="2184"/>
      <c r="G45" s="2184"/>
      <c r="H45" s="2184"/>
      <c r="I45" s="2185"/>
      <c r="J45" s="2186" t="s">
        <v>1749</v>
      </c>
      <c r="K45" s="2186"/>
      <c r="L45" s="2186"/>
      <c r="M45" s="2187"/>
    </row>
    <row r="46" spans="1:13">
      <c r="A46" s="2191" t="s">
        <v>1750</v>
      </c>
      <c r="B46" s="2187"/>
      <c r="C46" s="2210">
        <v>0</v>
      </c>
      <c r="D46" s="2211"/>
      <c r="E46" s="2183" t="s">
        <v>1751</v>
      </c>
      <c r="F46" s="2184"/>
      <c r="G46" s="2184"/>
      <c r="H46" s="2184"/>
      <c r="I46" s="2185"/>
      <c r="J46" s="2186" t="s">
        <v>1752</v>
      </c>
      <c r="K46" s="2186"/>
      <c r="L46" s="2186"/>
      <c r="M46" s="2187"/>
    </row>
    <row r="47" spans="1:13">
      <c r="A47" s="2191" t="s">
        <v>1753</v>
      </c>
      <c r="B47" s="2187"/>
      <c r="C47" s="2210">
        <v>20</v>
      </c>
      <c r="D47" s="2211"/>
      <c r="E47" s="2183" t="s">
        <v>1754</v>
      </c>
      <c r="F47" s="2184"/>
      <c r="G47" s="2184"/>
      <c r="H47" s="2184"/>
      <c r="I47" s="2185"/>
      <c r="J47" s="2186" t="s">
        <v>1755</v>
      </c>
      <c r="K47" s="2186"/>
      <c r="L47" s="2186"/>
      <c r="M47" s="2187"/>
    </row>
    <row r="48" spans="1:13">
      <c r="A48" s="2191" t="s">
        <v>1756</v>
      </c>
      <c r="B48" s="2187"/>
      <c r="C48" s="2210">
        <v>20</v>
      </c>
      <c r="D48" s="2211"/>
      <c r="E48" s="2183" t="s">
        <v>1757</v>
      </c>
      <c r="F48" s="2184"/>
      <c r="G48" s="2184"/>
      <c r="H48" s="2184"/>
      <c r="I48" s="2185"/>
      <c r="J48" s="2186" t="s">
        <v>1758</v>
      </c>
      <c r="K48" s="2186"/>
      <c r="L48" s="2186"/>
      <c r="M48" s="2187"/>
    </row>
    <row r="49" spans="1:13">
      <c r="A49" s="2191" t="s">
        <v>1759</v>
      </c>
      <c r="B49" s="2187"/>
      <c r="C49" s="2186" t="e">
        <f ca="1">_ZLF</f>
        <v>#DIV/0!</v>
      </c>
      <c r="D49" s="2186"/>
      <c r="E49" s="2183" t="s">
        <v>1760</v>
      </c>
      <c r="F49" s="2184"/>
      <c r="G49" s="2184"/>
      <c r="H49" s="2184"/>
      <c r="I49" s="2185"/>
      <c r="J49" s="2186" t="s">
        <v>1761</v>
      </c>
      <c r="K49" s="2186"/>
      <c r="L49" s="2186"/>
      <c r="M49" s="2187"/>
    </row>
    <row r="50" spans="1:13">
      <c r="A50" s="2191" t="s">
        <v>1762</v>
      </c>
      <c r="B50" s="2187"/>
      <c r="C50" s="2186" t="e">
        <f ca="1">_ZLF</f>
        <v>#DIV/0!</v>
      </c>
      <c r="D50" s="2186"/>
      <c r="E50" s="2183" t="s">
        <v>1763</v>
      </c>
      <c r="F50" s="2184"/>
      <c r="G50" s="2184"/>
      <c r="H50" s="2184"/>
      <c r="I50" s="2185"/>
      <c r="J50" s="2186" t="s">
        <v>1764</v>
      </c>
      <c r="K50" s="2186"/>
      <c r="L50" s="2186"/>
      <c r="M50" s="2187"/>
    </row>
    <row r="51" spans="1:13">
      <c r="A51" s="2191" t="s">
        <v>898</v>
      </c>
      <c r="B51" s="2187"/>
      <c r="C51" s="2192">
        <f>'6) Zone Imp'!U163</f>
        <v>40</v>
      </c>
      <c r="D51" s="2192"/>
      <c r="E51" s="2183" t="s">
        <v>1765</v>
      </c>
      <c r="F51" s="2184"/>
      <c r="G51" s="2184"/>
      <c r="H51" s="2184"/>
      <c r="I51" s="2185"/>
      <c r="J51" s="2186" t="s">
        <v>1761</v>
      </c>
      <c r="K51" s="2186"/>
      <c r="L51" s="2186"/>
      <c r="M51" s="2187"/>
    </row>
    <row r="52" spans="1:13">
      <c r="A52" s="2191" t="s">
        <v>899</v>
      </c>
      <c r="B52" s="2187"/>
      <c r="C52" s="2192">
        <f>'6) Zone Imp'!U164</f>
        <v>-40</v>
      </c>
      <c r="D52" s="2192"/>
      <c r="E52" s="2183" t="s">
        <v>1766</v>
      </c>
      <c r="F52" s="2184"/>
      <c r="G52" s="2184"/>
      <c r="H52" s="2184"/>
      <c r="I52" s="2185"/>
      <c r="J52" s="2186" t="s">
        <v>1761</v>
      </c>
      <c r="K52" s="2186"/>
      <c r="L52" s="2186"/>
      <c r="M52" s="2187"/>
    </row>
    <row r="53" spans="1:13">
      <c r="A53" s="2191" t="s">
        <v>1767</v>
      </c>
      <c r="B53" s="2187"/>
      <c r="C53" s="2192">
        <f>180-C51</f>
        <v>140</v>
      </c>
      <c r="D53" s="2192"/>
      <c r="E53" s="2183" t="s">
        <v>1768</v>
      </c>
      <c r="F53" s="2184"/>
      <c r="G53" s="2184"/>
      <c r="H53" s="2184"/>
      <c r="I53" s="2185"/>
      <c r="J53" s="2186" t="s">
        <v>1764</v>
      </c>
      <c r="K53" s="2186"/>
      <c r="L53" s="2186"/>
      <c r="M53" s="2187"/>
    </row>
    <row r="54" spans="1:13">
      <c r="A54" s="2191" t="s">
        <v>1769</v>
      </c>
      <c r="B54" s="2187"/>
      <c r="C54" s="2192">
        <f>180-C52</f>
        <v>220</v>
      </c>
      <c r="D54" s="2192"/>
      <c r="E54" s="2183" t="s">
        <v>1770</v>
      </c>
      <c r="F54" s="2184"/>
      <c r="G54" s="2184"/>
      <c r="H54" s="2184"/>
      <c r="I54" s="2185"/>
      <c r="J54" s="2186" t="s">
        <v>1764</v>
      </c>
      <c r="K54" s="2186"/>
      <c r="L54" s="2186"/>
      <c r="M54" s="2187"/>
    </row>
    <row r="55" spans="1:13">
      <c r="A55" s="2191" t="s">
        <v>1398</v>
      </c>
      <c r="B55" s="2187"/>
      <c r="C55" s="2186" t="e">
        <f ca="1">_50P1P</f>
        <v>#DIV/0!</v>
      </c>
      <c r="D55" s="2186"/>
      <c r="E55" s="2183" t="s">
        <v>1771</v>
      </c>
      <c r="F55" s="2184"/>
      <c r="G55" s="2184"/>
      <c r="H55" s="2184"/>
      <c r="I55" s="2185"/>
      <c r="J55" s="2186" t="s">
        <v>1604</v>
      </c>
      <c r="K55" s="2186"/>
      <c r="L55" s="2186"/>
      <c r="M55" s="2187"/>
    </row>
    <row r="56" spans="1:13">
      <c r="A56" s="2191" t="s">
        <v>1772</v>
      </c>
      <c r="B56" s="2187"/>
      <c r="C56" s="2186">
        <f>'10) SOTF'!Q45</f>
        <v>2</v>
      </c>
      <c r="D56" s="2186"/>
      <c r="E56" s="2183" t="s">
        <v>1773</v>
      </c>
      <c r="F56" s="2184"/>
      <c r="G56" s="2184"/>
      <c r="H56" s="2184"/>
      <c r="I56" s="2185"/>
      <c r="J56" s="2186" t="s">
        <v>1774</v>
      </c>
      <c r="K56" s="2186"/>
      <c r="L56" s="2186"/>
      <c r="M56" s="2187"/>
    </row>
    <row r="57" spans="1:13">
      <c r="A57" s="2191" t="s">
        <v>1775</v>
      </c>
      <c r="B57" s="2187"/>
      <c r="C57" s="2186" t="str">
        <f>'10) SOTF'!Q39</f>
        <v>VAFIM &lt; PMV13 OR VBFIM &lt; PMV13 OR VCFIM &lt; PMV13 #SOTF 50 SUPV 65% NOM</v>
      </c>
      <c r="D57" s="2186"/>
      <c r="E57" s="2183" t="s">
        <v>1776</v>
      </c>
      <c r="F57" s="2184"/>
      <c r="G57" s="2184"/>
      <c r="H57" s="2184"/>
      <c r="I57" s="2185"/>
      <c r="J57" s="2186" t="s">
        <v>1777</v>
      </c>
      <c r="K57" s="2186"/>
      <c r="L57" s="2186"/>
      <c r="M57" s="2187"/>
    </row>
    <row r="58" spans="1:13">
      <c r="A58" s="2191" t="s">
        <v>1778</v>
      </c>
      <c r="B58" s="2187"/>
      <c r="C58" s="2192" t="e">
        <f ca="1">_50P2P</f>
        <v>#DIV/0!</v>
      </c>
      <c r="D58" s="2192"/>
      <c r="E58" s="2183" t="s">
        <v>1779</v>
      </c>
      <c r="F58" s="2184"/>
      <c r="G58" s="2184"/>
      <c r="H58" s="2184"/>
      <c r="I58" s="2185"/>
      <c r="J58" s="2186" t="s">
        <v>1780</v>
      </c>
      <c r="K58" s="2186"/>
      <c r="L58" s="2186"/>
      <c r="M58" s="2187"/>
    </row>
    <row r="59" spans="1:13">
      <c r="A59" s="2191" t="s">
        <v>1424</v>
      </c>
      <c r="B59" s="2187"/>
      <c r="C59" s="2192" t="e">
        <f ca="1">_50P3P</f>
        <v>#DIV/0!</v>
      </c>
      <c r="D59" s="2192"/>
      <c r="E59" s="2183" t="s">
        <v>1781</v>
      </c>
      <c r="F59" s="2184"/>
      <c r="G59" s="2184"/>
      <c r="H59" s="2184"/>
      <c r="I59" s="2185"/>
      <c r="J59" s="2186" t="s">
        <v>1606</v>
      </c>
      <c r="K59" s="2186"/>
      <c r="L59" s="2186"/>
      <c r="M59" s="2187"/>
    </row>
    <row r="60" spans="1:13">
      <c r="A60" s="2191" t="s">
        <v>1364</v>
      </c>
      <c r="B60" s="2187"/>
      <c r="C60" s="2186" t="e">
        <f ca="1">_50P4P</f>
        <v>#DIV/0!</v>
      </c>
      <c r="D60" s="2186"/>
      <c r="E60" s="2183" t="s">
        <v>1782</v>
      </c>
      <c r="F60" s="2184"/>
      <c r="G60" s="2184"/>
      <c r="H60" s="2184"/>
      <c r="I60" s="2185"/>
      <c r="J60" s="2186" t="s">
        <v>1783</v>
      </c>
      <c r="K60" s="2186"/>
      <c r="L60" s="2186"/>
      <c r="M60" s="2187"/>
    </row>
    <row r="61" spans="1:13">
      <c r="A61" s="2191" t="s">
        <v>629</v>
      </c>
      <c r="B61" s="2187"/>
      <c r="C61" s="2186" t="e">
        <f ca="1">_50G2P</f>
        <v>#DIV/0!</v>
      </c>
      <c r="D61" s="2186"/>
      <c r="E61" s="2183" t="s">
        <v>1784</v>
      </c>
      <c r="F61" s="2184"/>
      <c r="G61" s="2184"/>
      <c r="H61" s="2184"/>
      <c r="I61" s="2185"/>
      <c r="J61" s="2186" t="s">
        <v>1785</v>
      </c>
      <c r="K61" s="2186"/>
      <c r="L61" s="2186"/>
      <c r="M61" s="2187"/>
    </row>
    <row r="62" spans="1:13">
      <c r="A62" s="2191" t="s">
        <v>637</v>
      </c>
      <c r="B62" s="2187"/>
      <c r="C62" s="2186">
        <f>_50G3P</f>
        <v>0.5</v>
      </c>
      <c r="D62" s="2186"/>
      <c r="E62" s="2183" t="s">
        <v>1786</v>
      </c>
      <c r="F62" s="2184"/>
      <c r="G62" s="2184"/>
      <c r="H62" s="2184"/>
      <c r="I62" s="2185"/>
      <c r="J62" s="2186" t="s">
        <v>1787</v>
      </c>
      <c r="K62" s="2186"/>
      <c r="L62" s="2186"/>
      <c r="M62" s="2187"/>
    </row>
    <row r="63" spans="1:13">
      <c r="A63" s="2191" t="s">
        <v>1371</v>
      </c>
      <c r="B63" s="2187"/>
      <c r="C63" s="2186" t="e">
        <f ca="1">_50G4P</f>
        <v>#DIV/0!</v>
      </c>
      <c r="D63" s="2186"/>
      <c r="E63" s="2183" t="s">
        <v>1788</v>
      </c>
      <c r="F63" s="2184"/>
      <c r="G63" s="2184"/>
      <c r="H63" s="2184"/>
      <c r="I63" s="2185"/>
      <c r="J63" s="2186" t="s">
        <v>1789</v>
      </c>
      <c r="K63" s="2186"/>
      <c r="L63" s="2186"/>
      <c r="M63" s="2187"/>
    </row>
    <row r="64" spans="1:13">
      <c r="A64" s="2191" t="s">
        <v>1790</v>
      </c>
      <c r="B64" s="2187"/>
      <c r="C64" s="2210">
        <v>1</v>
      </c>
      <c r="D64" s="2211"/>
      <c r="E64" s="2183" t="s">
        <v>1791</v>
      </c>
      <c r="F64" s="2184"/>
      <c r="G64" s="2184"/>
      <c r="H64" s="2184"/>
      <c r="I64" s="2185"/>
      <c r="J64" s="2186" t="s">
        <v>1792</v>
      </c>
      <c r="K64" s="2186"/>
      <c r="L64" s="2186"/>
      <c r="M64" s="2187"/>
    </row>
    <row r="65" spans="1:13">
      <c r="A65" s="2191" t="s">
        <v>1381</v>
      </c>
      <c r="B65" s="2187"/>
      <c r="C65" s="2186" t="e">
        <f ca="1">_50Q4P</f>
        <v>#DIV/0!</v>
      </c>
      <c r="D65" s="2186"/>
      <c r="E65" s="2183" t="s">
        <v>1793</v>
      </c>
      <c r="F65" s="2184"/>
      <c r="G65" s="2184"/>
      <c r="H65" s="2184"/>
      <c r="I65" s="2185"/>
      <c r="J65" s="2186" t="s">
        <v>1794</v>
      </c>
      <c r="K65" s="2186"/>
      <c r="L65" s="2186"/>
      <c r="M65" s="2187"/>
    </row>
    <row r="66" spans="1:13">
      <c r="A66" s="2191" t="s">
        <v>1795</v>
      </c>
      <c r="B66" s="2187"/>
      <c r="C66" s="2192" t="e">
        <f ca="1">_51S1P</f>
        <v>#DIV/0!</v>
      </c>
      <c r="D66" s="2192"/>
      <c r="E66" s="2183" t="s">
        <v>1796</v>
      </c>
      <c r="F66" s="2184"/>
      <c r="G66" s="2184"/>
      <c r="H66" s="2184"/>
      <c r="I66" s="2185"/>
      <c r="J66" s="2186" t="s">
        <v>1797</v>
      </c>
      <c r="K66" s="2186"/>
      <c r="L66" s="2186"/>
      <c r="M66" s="2187"/>
    </row>
    <row r="67" spans="1:13">
      <c r="A67" s="2191" t="s">
        <v>1798</v>
      </c>
      <c r="B67" s="2187"/>
      <c r="C67" s="2208" t="str">
        <f>'8) LOP &amp; Ground TOC'!G75</f>
        <v>U2</v>
      </c>
      <c r="D67" s="2186"/>
      <c r="E67" s="2183" t="s">
        <v>1799</v>
      </c>
      <c r="F67" s="2184"/>
      <c r="G67" s="2184"/>
      <c r="H67" s="2184"/>
      <c r="I67" s="2185"/>
      <c r="J67" s="2186" t="s">
        <v>1800</v>
      </c>
      <c r="K67" s="2186"/>
      <c r="L67" s="2186"/>
      <c r="M67" s="2187"/>
    </row>
    <row r="68" spans="1:13">
      <c r="A68" s="2191" t="s">
        <v>1801</v>
      </c>
      <c r="B68" s="2187"/>
      <c r="C68" s="2186" t="e">
        <f ca="1">'8) LOP &amp; Ground TOC'!S74</f>
        <v>#DIV/0!</v>
      </c>
      <c r="D68" s="2186"/>
      <c r="E68" s="2183" t="s">
        <v>1802</v>
      </c>
      <c r="F68" s="2184"/>
      <c r="G68" s="2184"/>
      <c r="H68" s="2184"/>
      <c r="I68" s="2185"/>
      <c r="J68" s="2186" t="s">
        <v>1803</v>
      </c>
      <c r="K68" s="2186"/>
      <c r="L68" s="2186"/>
      <c r="M68" s="2187"/>
    </row>
    <row r="69" spans="1:13">
      <c r="A69" s="2191" t="s">
        <v>1804</v>
      </c>
      <c r="B69" s="2187"/>
      <c r="C69" s="2186" t="e">
        <f ca="1">'8) LOP &amp; Ground TOC'!S120</f>
        <v>#DIV/0!</v>
      </c>
      <c r="D69" s="2186"/>
      <c r="E69" s="2183" t="s">
        <v>1805</v>
      </c>
      <c r="F69" s="2184"/>
      <c r="G69" s="2184"/>
      <c r="H69" s="2184"/>
      <c r="I69" s="2185"/>
      <c r="J69" s="2186" t="s">
        <v>1806</v>
      </c>
      <c r="K69" s="2186"/>
      <c r="L69" s="2186"/>
      <c r="M69" s="2187"/>
    </row>
    <row r="70" spans="1:13">
      <c r="A70" s="2191" t="s">
        <v>1807</v>
      </c>
      <c r="B70" s="2187"/>
      <c r="C70" s="2186" t="e">
        <f ca="1">_50FP1</f>
        <v>#DIV/0!</v>
      </c>
      <c r="D70" s="2186"/>
      <c r="E70" s="2183" t="s">
        <v>1808</v>
      </c>
      <c r="F70" s="2184"/>
      <c r="G70" s="2184"/>
      <c r="H70" s="2184"/>
      <c r="I70" s="2185"/>
      <c r="J70" s="2186" t="s">
        <v>1809</v>
      </c>
      <c r="K70" s="2186"/>
      <c r="L70" s="2186"/>
      <c r="M70" s="2187"/>
    </row>
    <row r="71" spans="1:13">
      <c r="A71" s="2191" t="s">
        <v>1810</v>
      </c>
      <c r="B71" s="2187"/>
      <c r="C71" s="2186">
        <f>_BFPU1</f>
        <v>10</v>
      </c>
      <c r="D71" s="2186"/>
      <c r="E71" s="2183" t="s">
        <v>1811</v>
      </c>
      <c r="F71" s="2184"/>
      <c r="G71" s="2184"/>
      <c r="H71" s="2184"/>
      <c r="I71" s="2185"/>
      <c r="J71" s="2186" t="s">
        <v>1812</v>
      </c>
      <c r="K71" s="2186"/>
      <c r="L71" s="2186"/>
      <c r="M71" s="2187"/>
    </row>
    <row r="72" spans="1:13">
      <c r="A72" s="2191" t="s">
        <v>1813</v>
      </c>
      <c r="B72" s="2187"/>
      <c r="C72" s="2186" t="e">
        <f ca="1">_50RP1</f>
        <v>#DIV/0!</v>
      </c>
      <c r="D72" s="2186"/>
      <c r="E72" s="2183" t="s">
        <v>1814</v>
      </c>
      <c r="F72" s="2184"/>
      <c r="G72" s="2184"/>
      <c r="H72" s="2184"/>
      <c r="I72" s="2185"/>
      <c r="J72" s="2186" t="s">
        <v>1815</v>
      </c>
      <c r="K72" s="2186"/>
      <c r="L72" s="2186"/>
      <c r="M72" s="2187"/>
    </row>
    <row r="73" spans="1:13">
      <c r="A73" s="2191" t="s">
        <v>1816</v>
      </c>
      <c r="B73" s="2187"/>
      <c r="C73" s="2186">
        <f>_NPU1</f>
        <v>10</v>
      </c>
      <c r="D73" s="2186"/>
      <c r="E73" s="2183" t="s">
        <v>1817</v>
      </c>
      <c r="F73" s="2184"/>
      <c r="G73" s="2184"/>
      <c r="H73" s="2184"/>
      <c r="I73" s="2185"/>
      <c r="J73" s="2186" t="s">
        <v>1812</v>
      </c>
      <c r="K73" s="2186"/>
      <c r="L73" s="2186"/>
      <c r="M73" s="2187"/>
    </row>
    <row r="74" spans="1:13">
      <c r="A74" s="2191" t="s">
        <v>1818</v>
      </c>
      <c r="B74" s="2187"/>
      <c r="C74" s="2186" t="e">
        <f ca="1">'BF Fault Det (2)'!AA26</f>
        <v>#DIV/0!</v>
      </c>
      <c r="D74" s="2186"/>
      <c r="E74" s="2183" t="s">
        <v>1819</v>
      </c>
      <c r="F74" s="2184"/>
      <c r="G74" s="2184"/>
      <c r="H74" s="2184"/>
      <c r="I74" s="2185"/>
      <c r="J74" s="2186" t="s">
        <v>1820</v>
      </c>
      <c r="K74" s="2186"/>
      <c r="L74" s="2186"/>
      <c r="M74" s="2187"/>
    </row>
    <row r="75" spans="1:13">
      <c r="A75" s="2191" t="s">
        <v>1821</v>
      </c>
      <c r="B75" s="2187"/>
      <c r="C75" s="2209">
        <f>'BF Fault Det (2)'!AA35</f>
        <v>10</v>
      </c>
      <c r="D75" s="2186"/>
      <c r="E75" s="2183" t="s">
        <v>1822</v>
      </c>
      <c r="F75" s="2184"/>
      <c r="G75" s="2184"/>
      <c r="H75" s="2184"/>
      <c r="I75" s="2185"/>
      <c r="J75" s="2186" t="s">
        <v>1823</v>
      </c>
      <c r="K75" s="2186"/>
      <c r="L75" s="2186"/>
      <c r="M75" s="2187"/>
    </row>
    <row r="76" spans="1:13">
      <c r="A76" s="2191" t="s">
        <v>1824</v>
      </c>
      <c r="B76" s="2187"/>
      <c r="C76" s="2186" t="e">
        <f ca="1">'BF Fault Det (2)'!AA32</f>
        <v>#DIV/0!</v>
      </c>
      <c r="D76" s="2186"/>
      <c r="E76" s="2183" t="s">
        <v>1825</v>
      </c>
      <c r="F76" s="2184"/>
      <c r="G76" s="2184"/>
      <c r="H76" s="2184"/>
      <c r="I76" s="2185"/>
      <c r="J76" s="2186" t="s">
        <v>1826</v>
      </c>
      <c r="K76" s="2186"/>
      <c r="L76" s="2186"/>
      <c r="M76" s="2187"/>
    </row>
    <row r="77" spans="1:13">
      <c r="A77" s="2191" t="s">
        <v>1827</v>
      </c>
      <c r="B77" s="2187"/>
      <c r="C77" s="2209">
        <f>'BF Fault Det (2)'!AA35</f>
        <v>10</v>
      </c>
      <c r="D77" s="2186"/>
      <c r="E77" s="2183" t="s">
        <v>1828</v>
      </c>
      <c r="F77" s="2184"/>
      <c r="G77" s="2184"/>
      <c r="H77" s="2184"/>
      <c r="I77" s="2185"/>
      <c r="J77" s="2186" t="s">
        <v>1823</v>
      </c>
      <c r="K77" s="2186"/>
      <c r="L77" s="2186"/>
      <c r="M77" s="2187"/>
    </row>
    <row r="78" spans="1:13">
      <c r="A78" s="2191" t="s">
        <v>1829</v>
      </c>
      <c r="B78" s="2187"/>
      <c r="C78" s="2186">
        <f>_SYNCP</f>
        <v>0</v>
      </c>
      <c r="D78" s="2186"/>
      <c r="E78" s="2183" t="s">
        <v>1830</v>
      </c>
      <c r="F78" s="2184"/>
      <c r="G78" s="2184"/>
      <c r="H78" s="2184"/>
      <c r="I78" s="2185"/>
      <c r="J78" s="2186" t="s">
        <v>1831</v>
      </c>
      <c r="K78" s="2186"/>
      <c r="L78" s="2186"/>
      <c r="M78" s="2187"/>
    </row>
    <row r="79" spans="1:13">
      <c r="A79" s="2191" t="s">
        <v>1832</v>
      </c>
      <c r="B79" s="2187"/>
      <c r="C79" s="2209" t="e">
        <f>_25VL</f>
        <v>#VALUE!</v>
      </c>
      <c r="D79" s="2209"/>
      <c r="E79" s="2183" t="s">
        <v>1833</v>
      </c>
      <c r="F79" s="2184"/>
      <c r="G79" s="2184"/>
      <c r="H79" s="2184"/>
      <c r="I79" s="2185"/>
      <c r="J79" s="2186" t="s">
        <v>1834</v>
      </c>
      <c r="K79" s="2186"/>
      <c r="L79" s="2186"/>
      <c r="M79" s="2187"/>
    </row>
    <row r="80" spans="1:13">
      <c r="A80" s="2191" t="s">
        <v>1835</v>
      </c>
      <c r="B80" s="2187"/>
      <c r="C80" s="2209" t="e">
        <f>_25VH</f>
        <v>#VALUE!</v>
      </c>
      <c r="D80" s="2209"/>
      <c r="E80" s="2183" t="s">
        <v>1836</v>
      </c>
      <c r="F80" s="2184"/>
      <c r="G80" s="2184"/>
      <c r="H80" s="2184"/>
      <c r="I80" s="2185"/>
      <c r="J80" s="2186" t="s">
        <v>1837</v>
      </c>
      <c r="K80" s="2186"/>
      <c r="L80" s="2186"/>
      <c r="M80" s="2187"/>
    </row>
    <row r="81" spans="1:13">
      <c r="A81" s="2191" t="s">
        <v>1838</v>
      </c>
      <c r="B81" s="2187"/>
      <c r="C81" s="2186">
        <f>_SYNC_Source</f>
        <v>0</v>
      </c>
      <c r="D81" s="2186"/>
      <c r="E81" s="2183" t="s">
        <v>1839</v>
      </c>
      <c r="F81" s="2184"/>
      <c r="G81" s="2184"/>
      <c r="H81" s="2184"/>
      <c r="I81" s="2185"/>
      <c r="J81" s="2186" t="s">
        <v>1840</v>
      </c>
      <c r="K81" s="2186"/>
      <c r="L81" s="2186"/>
      <c r="M81" s="2187"/>
    </row>
    <row r="82" spans="1:13">
      <c r="A82" s="2191" t="s">
        <v>1841</v>
      </c>
      <c r="B82" s="2187"/>
      <c r="C82" s="2186" t="e">
        <f>_KS1M</f>
        <v>#VALUE!</v>
      </c>
      <c r="D82" s="2186"/>
      <c r="E82" s="2183" t="s">
        <v>1842</v>
      </c>
      <c r="F82" s="2184"/>
      <c r="G82" s="2184"/>
      <c r="H82" s="2184"/>
      <c r="I82" s="2185"/>
      <c r="J82" s="2186" t="s">
        <v>1843</v>
      </c>
      <c r="K82" s="2186"/>
      <c r="L82" s="2186"/>
      <c r="M82" s="2187"/>
    </row>
    <row r="83" spans="1:13">
      <c r="A83" s="2191" t="s">
        <v>1844</v>
      </c>
      <c r="B83" s="2187"/>
      <c r="C83" s="2186">
        <f>_KS1A</f>
        <v>0</v>
      </c>
      <c r="D83" s="2186"/>
      <c r="E83" s="2183" t="s">
        <v>1845</v>
      </c>
      <c r="F83" s="2184"/>
      <c r="G83" s="2184"/>
      <c r="H83" s="2184"/>
      <c r="I83" s="2185"/>
      <c r="J83" s="2186" t="s">
        <v>1846</v>
      </c>
      <c r="K83" s="2186"/>
      <c r="L83" s="2186"/>
      <c r="M83" s="2187"/>
    </row>
    <row r="84" spans="1:13">
      <c r="A84" s="2191" t="s">
        <v>1847</v>
      </c>
      <c r="B84" s="2187"/>
      <c r="C84" s="2186">
        <f>_SYNCS2</f>
        <v>0</v>
      </c>
      <c r="D84" s="2186"/>
      <c r="E84" s="2183" t="s">
        <v>1848</v>
      </c>
      <c r="F84" s="2184"/>
      <c r="G84" s="2184"/>
      <c r="H84" s="2184"/>
      <c r="I84" s="2185"/>
      <c r="J84" s="2186" t="s">
        <v>1849</v>
      </c>
      <c r="K84" s="2186"/>
      <c r="L84" s="2186"/>
      <c r="M84" s="2187"/>
    </row>
    <row r="85" spans="1:13">
      <c r="A85" s="2191" t="s">
        <v>1850</v>
      </c>
      <c r="B85" s="2187"/>
      <c r="C85" s="2186" t="e">
        <f>_KS2M</f>
        <v>#VALUE!</v>
      </c>
      <c r="D85" s="2186"/>
      <c r="E85" s="2183" t="s">
        <v>1851</v>
      </c>
      <c r="F85" s="2184"/>
      <c r="G85" s="2184"/>
      <c r="H85" s="2184"/>
      <c r="I85" s="2185"/>
      <c r="J85" s="2186" t="s">
        <v>1843</v>
      </c>
      <c r="K85" s="2186"/>
      <c r="L85" s="2186"/>
      <c r="M85" s="2187"/>
    </row>
    <row r="86" spans="1:13">
      <c r="A86" s="2191" t="s">
        <v>1852</v>
      </c>
      <c r="B86" s="2187"/>
      <c r="C86" s="2186">
        <f>_KS1A</f>
        <v>0</v>
      </c>
      <c r="D86" s="2186"/>
      <c r="E86" s="2183" t="s">
        <v>1853</v>
      </c>
      <c r="F86" s="2184"/>
      <c r="G86" s="2184"/>
      <c r="H86" s="2184"/>
      <c r="I86" s="2185"/>
      <c r="J86" s="2186" t="s">
        <v>1846</v>
      </c>
      <c r="K86" s="2186"/>
      <c r="L86" s="2186"/>
      <c r="M86" s="2187"/>
    </row>
    <row r="87" spans="1:13">
      <c r="A87" s="2191" t="s">
        <v>1854</v>
      </c>
      <c r="B87" s="2187"/>
      <c r="C87" s="2192" t="e">
        <f>_27LP</f>
        <v>#VALUE!</v>
      </c>
      <c r="D87" s="2192"/>
      <c r="E87" s="2183" t="s">
        <v>1855</v>
      </c>
      <c r="F87" s="2184"/>
      <c r="G87" s="2184"/>
      <c r="H87" s="2184"/>
      <c r="I87" s="2185"/>
      <c r="J87" s="2186" t="s">
        <v>1856</v>
      </c>
      <c r="K87" s="2186"/>
      <c r="L87" s="2186"/>
      <c r="M87" s="2187"/>
    </row>
    <row r="88" spans="1:13">
      <c r="A88" s="2191" t="s">
        <v>1857</v>
      </c>
      <c r="B88" s="2187"/>
      <c r="C88" s="2192" t="e">
        <f>_59LP</f>
        <v>#VALUE!</v>
      </c>
      <c r="D88" s="2192"/>
      <c r="E88" s="2183" t="s">
        <v>1858</v>
      </c>
      <c r="F88" s="2184"/>
      <c r="G88" s="2184"/>
      <c r="H88" s="2184"/>
      <c r="I88" s="2185"/>
      <c r="J88" s="2186" t="s">
        <v>1859</v>
      </c>
      <c r="K88" s="2186"/>
      <c r="L88" s="2186"/>
      <c r="M88" s="2187"/>
    </row>
    <row r="89" spans="1:13">
      <c r="A89" s="2191" t="s">
        <v>1860</v>
      </c>
      <c r="B89" s="2187"/>
      <c r="C89" s="2192" t="e">
        <f>_27BK1P</f>
        <v>#VALUE!</v>
      </c>
      <c r="D89" s="2192"/>
      <c r="E89" s="2183" t="s">
        <v>1861</v>
      </c>
      <c r="F89" s="2184"/>
      <c r="G89" s="2184"/>
      <c r="H89" s="2184"/>
      <c r="I89" s="2185"/>
      <c r="J89" s="2186" t="s">
        <v>1862</v>
      </c>
      <c r="K89" s="2186"/>
      <c r="L89" s="2186"/>
      <c r="M89" s="2187"/>
    </row>
    <row r="90" spans="1:13">
      <c r="A90" s="2191" t="s">
        <v>1863</v>
      </c>
      <c r="B90" s="2187"/>
      <c r="C90" s="2192" t="e">
        <f>_59BK1P</f>
        <v>#VALUE!</v>
      </c>
      <c r="D90" s="2192"/>
      <c r="E90" s="2183" t="s">
        <v>1864</v>
      </c>
      <c r="F90" s="2184"/>
      <c r="G90" s="2184"/>
      <c r="H90" s="2184"/>
      <c r="I90" s="2185"/>
      <c r="J90" s="2186" t="s">
        <v>1865</v>
      </c>
      <c r="K90" s="2186"/>
      <c r="L90" s="2186"/>
      <c r="M90" s="2187"/>
    </row>
    <row r="91" spans="1:13">
      <c r="A91" s="2191" t="s">
        <v>1866</v>
      </c>
      <c r="B91" s="2187"/>
      <c r="C91" s="2192" t="e">
        <f>_27BK2P</f>
        <v>#VALUE!</v>
      </c>
      <c r="D91" s="2192"/>
      <c r="E91" s="2183" t="s">
        <v>1867</v>
      </c>
      <c r="F91" s="2184"/>
      <c r="G91" s="2184"/>
      <c r="H91" s="2184"/>
      <c r="I91" s="2185"/>
      <c r="J91" s="2186" t="s">
        <v>1868</v>
      </c>
      <c r="K91" s="2186"/>
      <c r="L91" s="2186"/>
      <c r="M91" s="2187"/>
    </row>
    <row r="92" spans="1:13">
      <c r="A92" s="2191" t="s">
        <v>1869</v>
      </c>
      <c r="B92" s="2187"/>
      <c r="C92" s="2192" t="e">
        <f>_59BK2P</f>
        <v>#VALUE!</v>
      </c>
      <c r="D92" s="2192"/>
      <c r="E92" s="2183" t="s">
        <v>1870</v>
      </c>
      <c r="F92" s="2184"/>
      <c r="G92" s="2184"/>
      <c r="H92" s="2184"/>
      <c r="I92" s="2185"/>
      <c r="J92" s="2186" t="s">
        <v>1871</v>
      </c>
      <c r="K92" s="2186"/>
      <c r="L92" s="2186"/>
      <c r="M92" s="2187"/>
    </row>
    <row r="93" spans="1:13">
      <c r="A93" s="2191" t="s">
        <v>1872</v>
      </c>
      <c r="B93" s="2187"/>
      <c r="C93" s="2186">
        <f>_PCT01PU</f>
        <v>10</v>
      </c>
      <c r="D93" s="2186"/>
      <c r="E93" s="2183" t="s">
        <v>1873</v>
      </c>
      <c r="F93" s="2184"/>
      <c r="G93" s="2184"/>
      <c r="H93" s="2184"/>
      <c r="I93" s="2185"/>
      <c r="J93" s="2186" t="s">
        <v>1874</v>
      </c>
      <c r="K93" s="2186"/>
      <c r="L93" s="2186"/>
      <c r="M93" s="2187"/>
    </row>
    <row r="94" spans="1:13">
      <c r="A94" s="2191" t="s">
        <v>1347</v>
      </c>
      <c r="B94" s="2187"/>
      <c r="C94" s="2186" t="e">
        <f ca="1">_PMV05</f>
        <v>#DIV/0!</v>
      </c>
      <c r="D94" s="2186"/>
      <c r="E94" s="2183" t="s">
        <v>1875</v>
      </c>
      <c r="F94" s="2184"/>
      <c r="G94" s="2184"/>
      <c r="H94" s="2184"/>
      <c r="I94" s="2185"/>
      <c r="J94" s="2186" t="s">
        <v>1876</v>
      </c>
      <c r="K94" s="2186"/>
      <c r="L94" s="2186"/>
      <c r="M94" s="2187"/>
    </row>
    <row r="95" spans="1:13">
      <c r="A95" s="2191" t="s">
        <v>1334</v>
      </c>
      <c r="B95" s="2187"/>
      <c r="C95" s="2186">
        <f ca="1">_PMV06</f>
        <v>0</v>
      </c>
      <c r="D95" s="2186"/>
      <c r="E95" s="2183" t="s">
        <v>1877</v>
      </c>
      <c r="F95" s="2184"/>
      <c r="G95" s="2184"/>
      <c r="H95" s="2184"/>
      <c r="I95" s="2185"/>
      <c r="J95" s="2186" t="s">
        <v>1878</v>
      </c>
      <c r="K95" s="2186"/>
      <c r="L95" s="2186"/>
      <c r="M95" s="2187"/>
    </row>
    <row r="96" spans="1:13">
      <c r="A96" s="2191" t="s">
        <v>1879</v>
      </c>
      <c r="B96" s="2187"/>
      <c r="C96" s="2186">
        <f>_PSV10</f>
        <v>0</v>
      </c>
      <c r="D96" s="2186"/>
      <c r="E96" s="2183" t="s">
        <v>1880</v>
      </c>
      <c r="F96" s="2184"/>
      <c r="G96" s="2184"/>
      <c r="H96" s="2184"/>
      <c r="I96" s="2185"/>
      <c r="J96" s="2186" t="s">
        <v>1881</v>
      </c>
      <c r="K96" s="2186"/>
      <c r="L96" s="2186"/>
      <c r="M96" s="2187"/>
    </row>
    <row r="97" spans="1:15">
      <c r="A97" s="2191" t="s">
        <v>1882</v>
      </c>
      <c r="B97" s="2187"/>
      <c r="C97" s="2210">
        <v>0</v>
      </c>
      <c r="D97" s="2211"/>
      <c r="E97" s="2183" t="s">
        <v>1883</v>
      </c>
      <c r="F97" s="2184"/>
      <c r="G97" s="2184"/>
      <c r="H97" s="2184"/>
      <c r="I97" s="2185"/>
      <c r="J97" s="2186" t="s">
        <v>1884</v>
      </c>
      <c r="K97" s="2186"/>
      <c r="L97" s="2186"/>
      <c r="M97" s="2187"/>
    </row>
    <row r="98" spans="1:15">
      <c r="A98" s="2191" t="s">
        <v>1885</v>
      </c>
      <c r="B98" s="2187"/>
      <c r="C98" s="2186" t="e">
        <f ca="1">_PMV10</f>
        <v>#DIV/0!</v>
      </c>
      <c r="D98" s="2186"/>
      <c r="E98" s="2183" t="s">
        <v>1886</v>
      </c>
      <c r="F98" s="2184"/>
      <c r="G98" s="2184"/>
      <c r="H98" s="2184"/>
      <c r="I98" s="2185"/>
      <c r="J98" s="2186" t="s">
        <v>1887</v>
      </c>
      <c r="K98" s="2186"/>
      <c r="L98" s="2186"/>
      <c r="M98" s="2187"/>
    </row>
    <row r="99" spans="1:15">
      <c r="A99" s="2191" t="s">
        <v>1888</v>
      </c>
      <c r="B99" s="2187"/>
      <c r="C99" s="2186">
        <f>_PMV11</f>
        <v>10</v>
      </c>
      <c r="D99" s="2186"/>
      <c r="E99" s="2183" t="s">
        <v>1889</v>
      </c>
      <c r="F99" s="2184"/>
      <c r="G99" s="2184"/>
      <c r="H99" s="2184"/>
      <c r="I99" s="2185"/>
      <c r="J99" s="2186" t="s">
        <v>1890</v>
      </c>
      <c r="K99" s="2186"/>
      <c r="L99" s="2186"/>
      <c r="M99" s="2187"/>
    </row>
    <row r="100" spans="1:15">
      <c r="A100" s="2191" t="s">
        <v>1404</v>
      </c>
      <c r="B100" s="2187"/>
      <c r="C100" s="2186" t="e">
        <f ca="1">_PMV13</f>
        <v>#DIV/0!</v>
      </c>
      <c r="D100" s="2186"/>
      <c r="E100" s="2183" t="s">
        <v>1891</v>
      </c>
      <c r="F100" s="2184"/>
      <c r="G100" s="2184"/>
      <c r="H100" s="2184"/>
      <c r="I100" s="2185"/>
      <c r="J100" s="2186" t="s">
        <v>1892</v>
      </c>
      <c r="K100" s="2186"/>
      <c r="L100" s="2186"/>
      <c r="M100" s="2187"/>
    </row>
    <row r="101" spans="1:15">
      <c r="A101" s="2191" t="s">
        <v>1893</v>
      </c>
      <c r="B101" s="2187"/>
      <c r="C101" s="2186">
        <f>_PCT14PU</f>
        <v>3</v>
      </c>
      <c r="D101" s="2186"/>
      <c r="E101" s="2183" t="s">
        <v>1894</v>
      </c>
      <c r="F101" s="2184"/>
      <c r="G101" s="2184"/>
      <c r="H101" s="2184"/>
      <c r="I101" s="2185"/>
      <c r="J101" s="2186" t="s">
        <v>1895</v>
      </c>
      <c r="K101" s="2186"/>
      <c r="L101" s="2186"/>
      <c r="M101" s="2187"/>
    </row>
    <row r="102" spans="1:15">
      <c r="A102" s="2191" t="s">
        <v>1896</v>
      </c>
      <c r="B102" s="2187"/>
      <c r="C102" s="2186">
        <f>_PCT16PU</f>
        <v>40</v>
      </c>
      <c r="D102" s="2186"/>
      <c r="E102" s="2183" t="s">
        <v>1897</v>
      </c>
      <c r="F102" s="2184"/>
      <c r="G102" s="2184"/>
      <c r="H102" s="2184"/>
      <c r="I102" s="2185"/>
      <c r="J102" s="2186" t="s">
        <v>1898</v>
      </c>
      <c r="K102" s="2186"/>
      <c r="L102" s="2186"/>
      <c r="M102" s="2187"/>
    </row>
    <row r="103" spans="1:15">
      <c r="A103" s="2191" t="s">
        <v>1899</v>
      </c>
      <c r="B103" s="2187"/>
      <c r="C103" s="2186" t="e">
        <f ca="1">_PMV40</f>
        <v>#DIV/0!</v>
      </c>
      <c r="D103" s="2186"/>
      <c r="E103" s="2183" t="s">
        <v>1900</v>
      </c>
      <c r="F103" s="2184"/>
      <c r="G103" s="2184"/>
      <c r="H103" s="2184"/>
      <c r="I103" s="2185"/>
      <c r="J103" s="2186" t="s">
        <v>1901</v>
      </c>
      <c r="K103" s="2186"/>
      <c r="L103" s="2186"/>
      <c r="M103" s="2187"/>
    </row>
    <row r="104" spans="1:15">
      <c r="A104" s="2191" t="s">
        <v>1902</v>
      </c>
      <c r="B104" s="2187"/>
      <c r="C104" s="2186">
        <f>_PSV58</f>
        <v>0</v>
      </c>
      <c r="D104" s="2186"/>
      <c r="E104" s="2183" t="s">
        <v>1903</v>
      </c>
      <c r="F104" s="2184"/>
      <c r="G104" s="2184"/>
      <c r="H104" s="2184"/>
      <c r="I104" s="2185"/>
      <c r="J104" s="2186" t="s">
        <v>1904</v>
      </c>
      <c r="K104" s="2186"/>
      <c r="L104" s="2186"/>
      <c r="M104" s="2187"/>
    </row>
    <row r="105" spans="1:15" ht="51.75" customHeight="1">
      <c r="A105" s="2191" t="s">
        <v>1905</v>
      </c>
      <c r="B105" s="2187"/>
      <c r="C105" s="2214" t="str">
        <f>_ASV041_421</f>
        <v>FLOC &gt; 0.000000 AND FLOC &lt; 0 # START FLOC</v>
      </c>
      <c r="D105" s="2215"/>
      <c r="E105" s="2183" t="s">
        <v>1906</v>
      </c>
      <c r="F105" s="2184"/>
      <c r="G105" s="2184"/>
      <c r="H105" s="2184"/>
      <c r="I105" s="2185"/>
      <c r="J105" s="2186" t="s">
        <v>1907</v>
      </c>
      <c r="K105" s="2186"/>
      <c r="L105" s="2186"/>
      <c r="M105" s="2187"/>
      <c r="O105" s="670" t="s">
        <v>1908</v>
      </c>
    </row>
    <row r="106" spans="1:15" ht="28.2" customHeight="1">
      <c r="A106" s="2191" t="s">
        <v>1909</v>
      </c>
      <c r="B106" s="2187"/>
      <c r="C106" s="2214" t="str">
        <f>_AMV004</f>
        <v>M * PTRZ *1000 # SYNC SOURCE  VOLTAGE</v>
      </c>
      <c r="D106" s="2215"/>
      <c r="E106" s="2183" t="s">
        <v>1910</v>
      </c>
      <c r="F106" s="2184"/>
      <c r="G106" s="2184"/>
      <c r="H106" s="2184"/>
      <c r="I106" s="2185"/>
      <c r="J106" s="2186" t="s">
        <v>1911</v>
      </c>
      <c r="K106" s="2186"/>
      <c r="L106" s="2186"/>
      <c r="M106" s="2187"/>
      <c r="O106" s="670" t="s">
        <v>1909</v>
      </c>
    </row>
    <row r="107" spans="1:15" ht="19.5" customHeight="1">
      <c r="A107" s="2191" t="s">
        <v>1912</v>
      </c>
      <c r="B107" s="2187"/>
      <c r="C107" s="2214" t="e">
        <f>_OUT105</f>
        <v>#VALUE!</v>
      </c>
      <c r="D107" s="2215"/>
      <c r="E107" s="2183" t="s">
        <v>174</v>
      </c>
      <c r="F107" s="2184"/>
      <c r="G107" s="2184"/>
      <c r="H107" s="2184"/>
      <c r="I107" s="2185"/>
      <c r="J107" s="2186" t="s">
        <v>174</v>
      </c>
      <c r="K107" s="2186"/>
      <c r="L107" s="2186"/>
      <c r="M107" s="2187"/>
    </row>
    <row r="108" spans="1:15">
      <c r="A108" s="2191"/>
      <c r="B108" s="2187"/>
      <c r="C108" s="2186"/>
      <c r="D108" s="2186"/>
      <c r="E108" s="2183"/>
      <c r="F108" s="2184"/>
      <c r="G108" s="2184"/>
      <c r="H108" s="2184"/>
      <c r="I108" s="2185"/>
      <c r="J108" s="2186"/>
      <c r="K108" s="2186"/>
      <c r="L108" s="2186"/>
      <c r="M108" s="2187"/>
    </row>
    <row r="109" spans="1:15">
      <c r="A109" s="2191"/>
      <c r="B109" s="2187"/>
      <c r="C109" s="2186"/>
      <c r="D109" s="2186"/>
      <c r="E109" s="2183"/>
      <c r="F109" s="2184"/>
      <c r="G109" s="2184"/>
      <c r="H109" s="2184"/>
      <c r="I109" s="2185"/>
      <c r="J109" s="2186"/>
      <c r="K109" s="2186"/>
      <c r="L109" s="2186"/>
      <c r="M109" s="2187"/>
    </row>
    <row r="110" spans="1:15">
      <c r="A110" s="2191"/>
      <c r="B110" s="2187"/>
      <c r="C110" s="2186"/>
      <c r="D110" s="2186"/>
      <c r="E110" s="2183"/>
      <c r="F110" s="2184"/>
      <c r="G110" s="2184"/>
      <c r="H110" s="2184"/>
      <c r="I110" s="2185"/>
      <c r="J110" s="2186"/>
      <c r="K110" s="2186"/>
      <c r="L110" s="2186"/>
      <c r="M110" s="2187"/>
    </row>
    <row r="111" spans="1:15">
      <c r="A111" s="2191"/>
      <c r="B111" s="2187"/>
      <c r="C111" s="2186"/>
      <c r="D111" s="2186"/>
      <c r="E111" s="2183"/>
      <c r="F111" s="2184"/>
      <c r="G111" s="2184"/>
      <c r="H111" s="2184"/>
      <c r="I111" s="2185"/>
      <c r="J111" s="2186"/>
      <c r="K111" s="2186"/>
      <c r="L111" s="2186"/>
      <c r="M111" s="2187"/>
    </row>
    <row r="112" spans="1:15">
      <c r="A112" s="2191"/>
      <c r="B112" s="2187"/>
      <c r="C112" s="2186"/>
      <c r="D112" s="2186"/>
      <c r="E112" s="2183"/>
      <c r="F112" s="2184"/>
      <c r="G112" s="2184"/>
      <c r="H112" s="2184"/>
      <c r="I112" s="2185"/>
      <c r="J112" s="2186"/>
      <c r="K112" s="2186"/>
      <c r="L112" s="2186"/>
      <c r="M112" s="2187"/>
    </row>
    <row r="113" spans="1:13">
      <c r="A113" s="2191"/>
      <c r="B113" s="2187"/>
      <c r="C113" s="2186"/>
      <c r="D113" s="2186"/>
      <c r="E113" s="2183"/>
      <c r="F113" s="2184"/>
      <c r="G113" s="2184"/>
      <c r="H113" s="2184"/>
      <c r="I113" s="2185"/>
      <c r="J113" s="2186"/>
      <c r="K113" s="2186"/>
      <c r="L113" s="2186"/>
      <c r="M113" s="2187"/>
    </row>
    <row r="114" spans="1:13">
      <c r="A114" s="2191"/>
      <c r="B114" s="2187"/>
      <c r="C114" s="2186"/>
      <c r="D114" s="2186"/>
      <c r="E114" s="2183"/>
      <c r="F114" s="2184"/>
      <c r="G114" s="2184"/>
      <c r="H114" s="2184"/>
      <c r="I114" s="2185"/>
      <c r="J114" s="2186"/>
      <c r="K114" s="2186"/>
      <c r="L114" s="2186"/>
      <c r="M114" s="2187"/>
    </row>
    <row r="115" spans="1:13">
      <c r="A115" s="2191"/>
      <c r="B115" s="2187"/>
      <c r="C115" s="2186"/>
      <c r="D115" s="2186"/>
      <c r="E115" s="2183"/>
      <c r="F115" s="2184"/>
      <c r="G115" s="2184"/>
      <c r="H115" s="2184"/>
      <c r="I115" s="2185"/>
      <c r="J115" s="2186"/>
      <c r="K115" s="2186"/>
      <c r="L115" s="2186"/>
      <c r="M115" s="2187"/>
    </row>
    <row r="116" spans="1:13">
      <c r="A116" s="2191"/>
      <c r="B116" s="2187"/>
      <c r="C116" s="2186"/>
      <c r="D116" s="2186"/>
      <c r="E116" s="2183"/>
      <c r="F116" s="2184"/>
      <c r="G116" s="2184"/>
      <c r="H116" s="2184"/>
      <c r="I116" s="2185"/>
      <c r="J116" s="2186"/>
      <c r="K116" s="2186"/>
      <c r="L116" s="2186"/>
      <c r="M116" s="2187"/>
    </row>
    <row r="117" spans="1:13">
      <c r="A117" s="2191"/>
      <c r="B117" s="2187"/>
      <c r="C117" s="2186"/>
      <c r="D117" s="2186"/>
      <c r="E117" s="2183"/>
      <c r="F117" s="2184"/>
      <c r="G117" s="2184"/>
      <c r="H117" s="2184"/>
      <c r="I117" s="2185"/>
      <c r="J117" s="2186"/>
      <c r="K117" s="2186"/>
      <c r="L117" s="2186"/>
      <c r="M117" s="2187"/>
    </row>
    <row r="118" spans="1:13">
      <c r="A118" s="2191"/>
      <c r="B118" s="2187"/>
      <c r="C118" s="2186"/>
      <c r="D118" s="2186"/>
      <c r="E118" s="2183"/>
      <c r="F118" s="2184"/>
      <c r="G118" s="2184"/>
      <c r="H118" s="2184"/>
      <c r="I118" s="2185"/>
      <c r="J118" s="2186"/>
      <c r="K118" s="2186"/>
      <c r="L118" s="2186"/>
      <c r="M118" s="2187"/>
    </row>
    <row r="119" spans="1:13">
      <c r="A119" s="2191"/>
      <c r="B119" s="2187"/>
      <c r="C119" s="2186"/>
      <c r="D119" s="2186"/>
      <c r="E119" s="2183"/>
      <c r="F119" s="2184"/>
      <c r="G119" s="2184"/>
      <c r="H119" s="2184"/>
      <c r="I119" s="2185"/>
      <c r="J119" s="2186"/>
      <c r="K119" s="2186"/>
      <c r="L119" s="2186"/>
      <c r="M119" s="2187"/>
    </row>
    <row r="120" spans="1:13">
      <c r="A120" s="2191"/>
      <c r="B120" s="2187"/>
      <c r="C120" s="2186"/>
      <c r="D120" s="2186"/>
      <c r="E120" s="2183"/>
      <c r="F120" s="2184"/>
      <c r="G120" s="2184"/>
      <c r="H120" s="2184"/>
      <c r="I120" s="2185"/>
      <c r="J120" s="2186"/>
      <c r="K120" s="2186"/>
      <c r="L120" s="2186"/>
      <c r="M120" s="2187"/>
    </row>
    <row r="121" spans="1:13">
      <c r="A121" s="2191"/>
      <c r="B121" s="2187"/>
      <c r="C121" s="2186"/>
      <c r="D121" s="2186"/>
      <c r="E121" s="2183"/>
      <c r="F121" s="2184"/>
      <c r="G121" s="2184"/>
      <c r="H121" s="2184"/>
      <c r="I121" s="2185"/>
      <c r="J121" s="2186"/>
      <c r="K121" s="2186"/>
      <c r="L121" s="2186"/>
      <c r="M121" s="2187"/>
    </row>
    <row r="122" spans="1:13">
      <c r="A122" s="2191"/>
      <c r="B122" s="2187"/>
      <c r="C122" s="2186"/>
      <c r="D122" s="2186"/>
      <c r="E122" s="2183"/>
      <c r="F122" s="2184"/>
      <c r="G122" s="2184"/>
      <c r="H122" s="2184"/>
      <c r="I122" s="2185"/>
      <c r="J122" s="2186"/>
      <c r="K122" s="2186"/>
      <c r="L122" s="2186"/>
      <c r="M122" s="2187"/>
    </row>
    <row r="123" spans="1:13">
      <c r="A123" s="2191"/>
      <c r="B123" s="2187"/>
      <c r="C123" s="2186"/>
      <c r="D123" s="2186"/>
      <c r="E123" s="2183"/>
      <c r="F123" s="2184"/>
      <c r="G123" s="2184"/>
      <c r="H123" s="2184"/>
      <c r="I123" s="2185"/>
      <c r="J123" s="2186"/>
      <c r="K123" s="2186"/>
      <c r="L123" s="2186"/>
      <c r="M123" s="2187"/>
    </row>
    <row r="124" spans="1:13">
      <c r="A124" s="2191"/>
      <c r="B124" s="2187"/>
      <c r="C124" s="2186"/>
      <c r="D124" s="2186"/>
      <c r="E124" s="2183"/>
      <c r="F124" s="2184"/>
      <c r="G124" s="2184"/>
      <c r="H124" s="2184"/>
      <c r="I124" s="2185"/>
      <c r="J124" s="2186"/>
      <c r="K124" s="2186"/>
      <c r="L124" s="2186"/>
      <c r="M124" s="2187"/>
    </row>
    <row r="125" spans="1:13">
      <c r="A125" s="2191"/>
      <c r="B125" s="2187"/>
      <c r="C125" s="2186"/>
      <c r="D125" s="2186"/>
      <c r="E125" s="2183"/>
      <c r="F125" s="2184"/>
      <c r="G125" s="2184"/>
      <c r="H125" s="2184"/>
      <c r="I125" s="2185"/>
      <c r="J125" s="2186"/>
      <c r="K125" s="2186"/>
      <c r="L125" s="2186"/>
      <c r="M125" s="2187"/>
    </row>
    <row r="126" spans="1:13">
      <c r="A126" s="2191"/>
      <c r="B126" s="2187"/>
      <c r="C126" s="2186"/>
      <c r="D126" s="2186"/>
      <c r="E126" s="2183"/>
      <c r="F126" s="2184"/>
      <c r="G126" s="2184"/>
      <c r="H126" s="2184"/>
      <c r="I126" s="2185"/>
      <c r="J126" s="2186"/>
      <c r="K126" s="2186"/>
      <c r="L126" s="2186"/>
      <c r="M126" s="2187"/>
    </row>
    <row r="127" spans="1:13">
      <c r="A127" s="2191"/>
      <c r="B127" s="2187"/>
      <c r="C127" s="2186"/>
      <c r="D127" s="2186"/>
      <c r="E127" s="2183"/>
      <c r="F127" s="2184"/>
      <c r="G127" s="2184"/>
      <c r="H127" s="2184"/>
      <c r="I127" s="2185"/>
      <c r="J127" s="2186"/>
      <c r="K127" s="2186"/>
      <c r="L127" s="2186"/>
      <c r="M127" s="2187"/>
    </row>
    <row r="128" spans="1:13">
      <c r="A128" s="2191"/>
      <c r="B128" s="2187"/>
      <c r="C128" s="2186"/>
      <c r="D128" s="2186"/>
      <c r="E128" s="2183"/>
      <c r="F128" s="2184"/>
      <c r="G128" s="2184"/>
      <c r="H128" s="2184"/>
      <c r="I128" s="2185"/>
      <c r="J128" s="2186"/>
      <c r="K128" s="2186"/>
      <c r="L128" s="2186"/>
      <c r="M128" s="2187"/>
    </row>
    <row r="129" spans="1:13">
      <c r="A129" s="2191"/>
      <c r="B129" s="2187"/>
      <c r="C129" s="2186"/>
      <c r="D129" s="2186"/>
      <c r="E129" s="2183"/>
      <c r="F129" s="2184"/>
      <c r="G129" s="2184"/>
      <c r="H129" s="2184"/>
      <c r="I129" s="2185"/>
      <c r="J129" s="2186"/>
      <c r="K129" s="2186"/>
      <c r="L129" s="2186"/>
      <c r="M129" s="2187"/>
    </row>
    <row r="130" spans="1:13">
      <c r="A130" s="2191"/>
      <c r="B130" s="2187"/>
      <c r="C130" s="2186"/>
      <c r="D130" s="2186"/>
      <c r="E130" s="2183"/>
      <c r="F130" s="2184"/>
      <c r="G130" s="2184"/>
      <c r="H130" s="2184"/>
      <c r="I130" s="2185"/>
      <c r="J130" s="2186"/>
      <c r="K130" s="2186"/>
      <c r="L130" s="2186"/>
      <c r="M130" s="2187"/>
    </row>
    <row r="131" spans="1:13">
      <c r="A131" s="2191"/>
      <c r="B131" s="2187"/>
      <c r="C131" s="2186"/>
      <c r="D131" s="2186"/>
      <c r="E131" s="2183"/>
      <c r="F131" s="2184"/>
      <c r="G131" s="2184"/>
      <c r="H131" s="2184"/>
      <c r="I131" s="2185"/>
      <c r="J131" s="2186"/>
      <c r="K131" s="2186"/>
      <c r="L131" s="2186"/>
      <c r="M131" s="2187"/>
    </row>
    <row r="132" spans="1:13">
      <c r="A132" s="2191"/>
      <c r="B132" s="2187"/>
      <c r="C132" s="2186"/>
      <c r="D132" s="2186"/>
      <c r="E132" s="2183"/>
      <c r="F132" s="2184"/>
      <c r="G132" s="2184"/>
      <c r="H132" s="2184"/>
      <c r="I132" s="2185"/>
      <c r="J132" s="2186"/>
      <c r="K132" s="2186"/>
      <c r="L132" s="2186"/>
      <c r="M132" s="2187"/>
    </row>
    <row r="133" spans="1:13">
      <c r="A133" s="2191"/>
      <c r="B133" s="2187"/>
      <c r="C133" s="2186"/>
      <c r="D133" s="2186"/>
      <c r="E133" s="2183"/>
      <c r="F133" s="2184"/>
      <c r="G133" s="2184"/>
      <c r="H133" s="2184"/>
      <c r="I133" s="2185"/>
      <c r="J133" s="2186"/>
      <c r="K133" s="2186"/>
      <c r="L133" s="2186"/>
      <c r="M133" s="2187"/>
    </row>
    <row r="134" spans="1:13">
      <c r="A134" s="2191"/>
      <c r="B134" s="2187"/>
      <c r="C134" s="2186"/>
      <c r="D134" s="2186"/>
      <c r="E134" s="2183"/>
      <c r="F134" s="2184"/>
      <c r="G134" s="2184"/>
      <c r="H134" s="2184"/>
      <c r="I134" s="2185"/>
      <c r="J134" s="2186"/>
      <c r="K134" s="2186"/>
      <c r="L134" s="2186"/>
      <c r="M134" s="2187"/>
    </row>
    <row r="135" spans="1:13">
      <c r="A135" s="2191"/>
      <c r="B135" s="2187"/>
      <c r="C135" s="2186"/>
      <c r="D135" s="2186"/>
      <c r="E135" s="2183"/>
      <c r="F135" s="2184"/>
      <c r="G135" s="2184"/>
      <c r="H135" s="2184"/>
      <c r="I135" s="2185"/>
      <c r="J135" s="2186"/>
      <c r="K135" s="2186"/>
      <c r="L135" s="2186"/>
      <c r="M135" s="2187"/>
    </row>
    <row r="136" spans="1:13">
      <c r="A136" s="2191"/>
      <c r="B136" s="2187"/>
      <c r="C136" s="2186"/>
      <c r="D136" s="2186"/>
      <c r="E136" s="2183"/>
      <c r="F136" s="2184"/>
      <c r="G136" s="2184"/>
      <c r="H136" s="2184"/>
      <c r="I136" s="2185"/>
      <c r="J136" s="2186"/>
      <c r="K136" s="2186"/>
      <c r="L136" s="2186"/>
      <c r="M136" s="2187"/>
    </row>
    <row r="137" spans="1:13">
      <c r="A137" s="2191"/>
      <c r="B137" s="2187"/>
      <c r="C137" s="2186"/>
      <c r="D137" s="2186"/>
      <c r="E137" s="2183"/>
      <c r="F137" s="2184"/>
      <c r="G137" s="2184"/>
      <c r="H137" s="2184"/>
      <c r="I137" s="2185"/>
      <c r="J137" s="2186"/>
      <c r="K137" s="2186"/>
      <c r="L137" s="2186"/>
      <c r="M137" s="2187"/>
    </row>
    <row r="138" spans="1:13">
      <c r="A138" s="2191"/>
      <c r="B138" s="2187"/>
      <c r="C138" s="2186"/>
      <c r="D138" s="2186"/>
      <c r="E138" s="2183"/>
      <c r="F138" s="2184"/>
      <c r="G138" s="2184"/>
      <c r="H138" s="2184"/>
      <c r="I138" s="2185"/>
      <c r="J138" s="2186"/>
      <c r="K138" s="2186"/>
      <c r="L138" s="2186"/>
      <c r="M138" s="2187"/>
    </row>
    <row r="139" spans="1:13">
      <c r="A139" s="2191"/>
      <c r="B139" s="2187"/>
      <c r="C139" s="2186"/>
      <c r="D139" s="2186"/>
      <c r="E139" s="2183"/>
      <c r="F139" s="2184"/>
      <c r="G139" s="2184"/>
      <c r="H139" s="2184"/>
      <c r="I139" s="2185"/>
      <c r="J139" s="2186"/>
      <c r="K139" s="2186"/>
      <c r="L139" s="2186"/>
      <c r="M139" s="2187"/>
    </row>
    <row r="140" spans="1:13">
      <c r="A140" s="2191"/>
      <c r="B140" s="2187"/>
      <c r="C140" s="2186"/>
      <c r="D140" s="2186"/>
      <c r="E140" s="2183"/>
      <c r="F140" s="2184"/>
      <c r="G140" s="2184"/>
      <c r="H140" s="2184"/>
      <c r="I140" s="2185"/>
      <c r="J140" s="2186"/>
      <c r="K140" s="2186"/>
      <c r="L140" s="2186"/>
      <c r="M140" s="2187"/>
    </row>
    <row r="141" spans="1:13">
      <c r="A141" s="2191"/>
      <c r="B141" s="2187"/>
      <c r="C141" s="2186"/>
      <c r="D141" s="2186"/>
      <c r="E141" s="2183"/>
      <c r="F141" s="2184"/>
      <c r="G141" s="2184"/>
      <c r="H141" s="2184"/>
      <c r="I141" s="2185"/>
      <c r="J141" s="2186"/>
      <c r="K141" s="2186"/>
      <c r="L141" s="2186"/>
      <c r="M141" s="2187"/>
    </row>
    <row r="142" spans="1:13">
      <c r="A142" s="2191"/>
      <c r="B142" s="2187"/>
      <c r="C142" s="2186"/>
      <c r="D142" s="2186"/>
      <c r="E142" s="2183"/>
      <c r="F142" s="2184"/>
      <c r="G142" s="2184"/>
      <c r="H142" s="2184"/>
      <c r="I142" s="2185"/>
      <c r="J142" s="2186"/>
      <c r="K142" s="2186"/>
      <c r="L142" s="2186"/>
      <c r="M142" s="2187"/>
    </row>
    <row r="143" spans="1:13">
      <c r="A143" s="2191"/>
      <c r="B143" s="2187"/>
      <c r="C143" s="2186"/>
      <c r="D143" s="2186"/>
      <c r="E143" s="2183"/>
      <c r="F143" s="2184"/>
      <c r="G143" s="2184"/>
      <c r="H143" s="2184"/>
      <c r="I143" s="2185"/>
      <c r="J143" s="2186"/>
      <c r="K143" s="2186"/>
      <c r="L143" s="2186"/>
      <c r="M143" s="2187"/>
    </row>
    <row r="144" spans="1:13">
      <c r="A144" s="2191"/>
      <c r="B144" s="2187"/>
      <c r="C144" s="2186"/>
      <c r="D144" s="2186"/>
      <c r="E144" s="2183"/>
      <c r="F144" s="2184"/>
      <c r="G144" s="2184"/>
      <c r="H144" s="2184"/>
      <c r="I144" s="2185"/>
      <c r="J144" s="2186"/>
      <c r="K144" s="2186"/>
      <c r="L144" s="2186"/>
      <c r="M144" s="2187"/>
    </row>
    <row r="145" spans="1:13">
      <c r="A145" s="2191"/>
      <c r="B145" s="2187"/>
      <c r="C145" s="2186"/>
      <c r="D145" s="2186"/>
      <c r="E145" s="2183"/>
      <c r="F145" s="2184"/>
      <c r="G145" s="2184"/>
      <c r="H145" s="2184"/>
      <c r="I145" s="2185"/>
      <c r="J145" s="2186"/>
      <c r="K145" s="2186"/>
      <c r="L145" s="2186"/>
      <c r="M145" s="2187"/>
    </row>
    <row r="146" spans="1:13">
      <c r="A146" s="2191"/>
      <c r="B146" s="2187"/>
      <c r="C146" s="2186"/>
      <c r="D146" s="2186"/>
      <c r="E146" s="2183"/>
      <c r="F146" s="2184"/>
      <c r="G146" s="2184"/>
      <c r="H146" s="2184"/>
      <c r="I146" s="2185"/>
      <c r="J146" s="2186"/>
      <c r="K146" s="2186"/>
      <c r="L146" s="2186"/>
      <c r="M146" s="2187"/>
    </row>
    <row r="147" spans="1:13">
      <c r="A147" s="2191"/>
      <c r="B147" s="2187"/>
      <c r="C147" s="2186"/>
      <c r="D147" s="2186"/>
      <c r="E147" s="2183"/>
      <c r="F147" s="2184"/>
      <c r="G147" s="2184"/>
      <c r="H147" s="2184"/>
      <c r="I147" s="2185"/>
      <c r="J147" s="2186"/>
      <c r="K147" s="2186"/>
      <c r="L147" s="2186"/>
      <c r="M147" s="2187"/>
    </row>
    <row r="148" spans="1:13">
      <c r="A148" s="2191"/>
      <c r="B148" s="2187"/>
      <c r="C148" s="2186"/>
      <c r="D148" s="2186"/>
      <c r="E148" s="2183"/>
      <c r="F148" s="2184"/>
      <c r="G148" s="2184"/>
      <c r="H148" s="2184"/>
      <c r="I148" s="2185"/>
      <c r="J148" s="2186"/>
      <c r="K148" s="2186"/>
      <c r="L148" s="2186"/>
      <c r="M148" s="2187"/>
    </row>
    <row r="149" spans="1:13">
      <c r="A149" s="2191"/>
      <c r="B149" s="2187"/>
      <c r="C149" s="2186"/>
      <c r="D149" s="2186"/>
      <c r="E149" s="2183"/>
      <c r="F149" s="2184"/>
      <c r="G149" s="2184"/>
      <c r="H149" s="2184"/>
      <c r="I149" s="2185"/>
      <c r="J149" s="2186"/>
      <c r="K149" s="2186"/>
      <c r="L149" s="2186"/>
      <c r="M149" s="2187"/>
    </row>
    <row r="150" spans="1:13">
      <c r="A150" s="2191"/>
      <c r="B150" s="2187"/>
      <c r="C150" s="2186"/>
      <c r="D150" s="2186"/>
      <c r="E150" s="2183"/>
      <c r="F150" s="2184"/>
      <c r="G150" s="2184"/>
      <c r="H150" s="2184"/>
      <c r="I150" s="2185"/>
      <c r="J150" s="2186"/>
      <c r="K150" s="2186"/>
      <c r="L150" s="2186"/>
      <c r="M150" s="2187"/>
    </row>
    <row r="151" spans="1:13">
      <c r="A151" s="2191"/>
      <c r="B151" s="2187"/>
      <c r="C151" s="2186"/>
      <c r="D151" s="2186"/>
      <c r="E151" s="2183"/>
      <c r="F151" s="2184"/>
      <c r="G151" s="2184"/>
      <c r="H151" s="2184"/>
      <c r="I151" s="2185"/>
      <c r="J151" s="2186"/>
      <c r="K151" s="2186"/>
      <c r="L151" s="2186"/>
      <c r="M151" s="2187"/>
    </row>
    <row r="152" spans="1:13">
      <c r="A152" s="2191"/>
      <c r="B152" s="2187"/>
      <c r="C152" s="2186"/>
      <c r="D152" s="2186"/>
      <c r="E152" s="2183"/>
      <c r="F152" s="2184"/>
      <c r="G152" s="2184"/>
      <c r="H152" s="2184"/>
      <c r="I152" s="2185"/>
      <c r="J152" s="2186"/>
      <c r="K152" s="2186"/>
      <c r="L152" s="2186"/>
      <c r="M152" s="2187"/>
    </row>
    <row r="153" spans="1:13">
      <c r="A153" s="2191"/>
      <c r="B153" s="2187"/>
      <c r="C153" s="2186"/>
      <c r="D153" s="2186"/>
      <c r="E153" s="2183"/>
      <c r="F153" s="2184"/>
      <c r="G153" s="2184"/>
      <c r="H153" s="2184"/>
      <c r="I153" s="2185"/>
      <c r="J153" s="2186"/>
      <c r="K153" s="2186"/>
      <c r="L153" s="2186"/>
      <c r="M153" s="2187"/>
    </row>
    <row r="154" spans="1:13">
      <c r="A154" s="2191"/>
      <c r="B154" s="2187"/>
      <c r="C154" s="2186"/>
      <c r="D154" s="2186"/>
      <c r="E154" s="2183"/>
      <c r="F154" s="2184"/>
      <c r="G154" s="2184"/>
      <c r="H154" s="2184"/>
      <c r="I154" s="2185"/>
      <c r="J154" s="2186"/>
      <c r="K154" s="2186"/>
      <c r="L154" s="2186"/>
      <c r="M154" s="2187"/>
    </row>
    <row r="155" spans="1:13">
      <c r="A155" s="2191"/>
      <c r="B155" s="2187"/>
      <c r="C155" s="2186"/>
      <c r="D155" s="2186"/>
      <c r="E155" s="2183"/>
      <c r="F155" s="2184"/>
      <c r="G155" s="2184"/>
      <c r="H155" s="2184"/>
      <c r="I155" s="2185"/>
      <c r="J155" s="2186"/>
      <c r="K155" s="2186"/>
      <c r="L155" s="2186"/>
      <c r="M155" s="2187"/>
    </row>
    <row r="156" spans="1:13">
      <c r="A156" s="2191"/>
      <c r="B156" s="2187"/>
      <c r="C156" s="2186"/>
      <c r="D156" s="2186"/>
      <c r="E156" s="2183"/>
      <c r="F156" s="2184"/>
      <c r="G156" s="2184"/>
      <c r="H156" s="2184"/>
      <c r="I156" s="2185"/>
      <c r="J156" s="2186"/>
      <c r="K156" s="2186"/>
      <c r="L156" s="2186"/>
      <c r="M156" s="2187"/>
    </row>
    <row r="157" spans="1:13">
      <c r="A157" s="2191"/>
      <c r="B157" s="2187"/>
      <c r="C157" s="2186"/>
      <c r="D157" s="2186"/>
      <c r="E157" s="2183"/>
      <c r="F157" s="2184"/>
      <c r="G157" s="2184"/>
      <c r="H157" s="2184"/>
      <c r="I157" s="2185"/>
      <c r="J157" s="2186"/>
      <c r="K157" s="2186"/>
      <c r="L157" s="2186"/>
      <c r="M157" s="2187"/>
    </row>
    <row r="158" spans="1:13">
      <c r="A158" s="2191"/>
      <c r="B158" s="2187"/>
      <c r="C158" s="2186"/>
      <c r="D158" s="2186"/>
      <c r="E158" s="2183"/>
      <c r="F158" s="2184"/>
      <c r="G158" s="2184"/>
      <c r="H158" s="2184"/>
      <c r="I158" s="2185"/>
      <c r="J158" s="2186"/>
      <c r="K158" s="2186"/>
      <c r="L158" s="2186"/>
      <c r="M158" s="2187"/>
    </row>
    <row r="159" spans="1:13">
      <c r="A159" s="2191"/>
      <c r="B159" s="2187"/>
      <c r="C159" s="2186"/>
      <c r="D159" s="2186"/>
      <c r="E159" s="2183"/>
      <c r="F159" s="2184"/>
      <c r="G159" s="2184"/>
      <c r="H159" s="2184"/>
      <c r="I159" s="2185"/>
      <c r="J159" s="2186"/>
      <c r="K159" s="2186"/>
      <c r="L159" s="2186"/>
      <c r="M159" s="2187"/>
    </row>
    <row r="160" spans="1:13">
      <c r="A160" s="2191"/>
      <c r="B160" s="2187"/>
      <c r="C160" s="2186"/>
      <c r="D160" s="2186"/>
      <c r="E160" s="2183"/>
      <c r="F160" s="2184"/>
      <c r="G160" s="2184"/>
      <c r="H160" s="2184"/>
      <c r="I160" s="2185"/>
      <c r="J160" s="2186"/>
      <c r="K160" s="2186"/>
      <c r="L160" s="2186"/>
      <c r="M160" s="2187"/>
    </row>
    <row r="161" spans="1:13">
      <c r="A161" s="2191"/>
      <c r="B161" s="2187"/>
      <c r="C161" s="2186"/>
      <c r="D161" s="2186"/>
      <c r="E161" s="2183"/>
      <c r="F161" s="2184"/>
      <c r="G161" s="2184"/>
      <c r="H161" s="2184"/>
      <c r="I161" s="2185"/>
      <c r="J161" s="2186"/>
      <c r="K161" s="2186"/>
      <c r="L161" s="2186"/>
      <c r="M161" s="2187"/>
    </row>
    <row r="162" spans="1:13">
      <c r="A162" s="2191"/>
      <c r="B162" s="2187"/>
      <c r="C162" s="2186"/>
      <c r="D162" s="2186"/>
      <c r="E162" s="2183"/>
      <c r="F162" s="2184"/>
      <c r="G162" s="2184"/>
      <c r="H162" s="2184"/>
      <c r="I162" s="2185"/>
      <c r="J162" s="2186"/>
      <c r="K162" s="2186"/>
      <c r="L162" s="2186"/>
      <c r="M162" s="2187"/>
    </row>
    <row r="163" spans="1:13">
      <c r="A163" s="2191"/>
      <c r="B163" s="2187"/>
      <c r="C163" s="2186"/>
      <c r="D163" s="2186"/>
      <c r="E163" s="2183"/>
      <c r="F163" s="2184"/>
      <c r="G163" s="2184"/>
      <c r="H163" s="2184"/>
      <c r="I163" s="2185"/>
      <c r="J163" s="2186"/>
      <c r="K163" s="2186"/>
      <c r="L163" s="2186"/>
      <c r="M163" s="2187"/>
    </row>
    <row r="164" spans="1:13">
      <c r="A164" s="2191"/>
      <c r="B164" s="2187"/>
      <c r="C164" s="2186"/>
      <c r="D164" s="2186"/>
      <c r="E164" s="2183"/>
      <c r="F164" s="2184"/>
      <c r="G164" s="2184"/>
      <c r="H164" s="2184"/>
      <c r="I164" s="2185"/>
      <c r="J164" s="2186"/>
      <c r="K164" s="2186"/>
      <c r="L164" s="2186"/>
      <c r="M164" s="2187"/>
    </row>
    <row r="165" spans="1:13">
      <c r="A165" s="2191"/>
      <c r="B165" s="2187"/>
      <c r="C165" s="2186"/>
      <c r="D165" s="2186"/>
      <c r="E165" s="2183"/>
      <c r="F165" s="2184"/>
      <c r="G165" s="2184"/>
      <c r="H165" s="2184"/>
      <c r="I165" s="2185"/>
      <c r="J165" s="2186"/>
      <c r="K165" s="2186"/>
      <c r="L165" s="2186"/>
      <c r="M165" s="2187"/>
    </row>
    <row r="166" spans="1:13">
      <c r="A166" s="2191"/>
      <c r="B166" s="2187"/>
      <c r="C166" s="2186"/>
      <c r="D166" s="2186"/>
      <c r="E166" s="2183"/>
      <c r="F166" s="2184"/>
      <c r="G166" s="2184"/>
      <c r="H166" s="2184"/>
      <c r="I166" s="2185"/>
      <c r="J166" s="2186"/>
      <c r="K166" s="2186"/>
      <c r="L166" s="2186"/>
      <c r="M166" s="2187"/>
    </row>
    <row r="167" spans="1:13">
      <c r="A167" s="2191"/>
      <c r="B167" s="2187"/>
      <c r="C167" s="2186"/>
      <c r="D167" s="2186"/>
      <c r="E167" s="2183"/>
      <c r="F167" s="2184"/>
      <c r="G167" s="2184"/>
      <c r="H167" s="2184"/>
      <c r="I167" s="2185"/>
      <c r="J167" s="2186"/>
      <c r="K167" s="2186"/>
      <c r="L167" s="2186"/>
      <c r="M167" s="2187"/>
    </row>
    <row r="168" spans="1:13">
      <c r="A168" s="2191"/>
      <c r="B168" s="2187"/>
      <c r="C168" s="2186"/>
      <c r="D168" s="2186"/>
      <c r="E168" s="2183"/>
      <c r="F168" s="2184"/>
      <c r="G168" s="2184"/>
      <c r="H168" s="2184"/>
      <c r="I168" s="2185"/>
      <c r="J168" s="2186"/>
      <c r="K168" s="2186"/>
      <c r="L168" s="2186"/>
      <c r="M168" s="2187"/>
    </row>
    <row r="169" spans="1:13">
      <c r="A169" s="2191"/>
      <c r="B169" s="2187"/>
      <c r="C169" s="2186"/>
      <c r="D169" s="2186"/>
      <c r="E169" s="2183"/>
      <c r="F169" s="2184"/>
      <c r="G169" s="2184"/>
      <c r="H169" s="2184"/>
      <c r="I169" s="2185"/>
      <c r="J169" s="2186"/>
      <c r="K169" s="2186"/>
      <c r="L169" s="2186"/>
      <c r="M169" s="2187"/>
    </row>
    <row r="170" spans="1:13">
      <c r="A170" s="2191"/>
      <c r="B170" s="2187"/>
      <c r="C170" s="2186"/>
      <c r="D170" s="2186"/>
      <c r="E170" s="2183"/>
      <c r="F170" s="2184"/>
      <c r="G170" s="2184"/>
      <c r="H170" s="2184"/>
      <c r="I170" s="2185"/>
      <c r="J170" s="2186"/>
      <c r="K170" s="2186"/>
      <c r="L170" s="2186"/>
      <c r="M170" s="2187"/>
    </row>
    <row r="171" spans="1:13">
      <c r="A171" s="2191"/>
      <c r="B171" s="2187"/>
      <c r="C171" s="2186"/>
      <c r="D171" s="2186"/>
      <c r="E171" s="2183"/>
      <c r="F171" s="2184"/>
      <c r="G171" s="2184"/>
      <c r="H171" s="2184"/>
      <c r="I171" s="2185"/>
      <c r="J171" s="2186"/>
      <c r="K171" s="2186"/>
      <c r="L171" s="2186"/>
      <c r="M171" s="2187"/>
    </row>
    <row r="172" spans="1:13">
      <c r="A172" s="2191"/>
      <c r="B172" s="2187"/>
      <c r="C172" s="2186"/>
      <c r="D172" s="2186"/>
      <c r="E172" s="2183"/>
      <c r="F172" s="2184"/>
      <c r="G172" s="2184"/>
      <c r="H172" s="2184"/>
      <c r="I172" s="2185"/>
      <c r="J172" s="2186"/>
      <c r="K172" s="2186"/>
      <c r="L172" s="2186"/>
      <c r="M172" s="2187"/>
    </row>
    <row r="173" spans="1:13">
      <c r="A173" s="2191"/>
      <c r="B173" s="2187"/>
      <c r="C173" s="2186"/>
      <c r="D173" s="2186"/>
      <c r="E173" s="2183"/>
      <c r="F173" s="2184"/>
      <c r="G173" s="2184"/>
      <c r="H173" s="2184"/>
      <c r="I173" s="2185"/>
      <c r="J173" s="2186"/>
      <c r="K173" s="2186"/>
      <c r="L173" s="2186"/>
      <c r="M173" s="2187"/>
    </row>
    <row r="174" spans="1:13">
      <c r="A174" s="2191"/>
      <c r="B174" s="2187"/>
      <c r="C174" s="2186"/>
      <c r="D174" s="2186"/>
      <c r="E174" s="2183"/>
      <c r="F174" s="2184"/>
      <c r="G174" s="2184"/>
      <c r="H174" s="2184"/>
      <c r="I174" s="2185"/>
      <c r="J174" s="2186"/>
      <c r="K174" s="2186"/>
      <c r="L174" s="2186"/>
      <c r="M174" s="2187"/>
    </row>
    <row r="175" spans="1:13">
      <c r="A175" s="2191"/>
      <c r="B175" s="2187"/>
      <c r="C175" s="2186"/>
      <c r="D175" s="2186"/>
      <c r="E175" s="2183"/>
      <c r="F175" s="2184"/>
      <c r="G175" s="2184"/>
      <c r="H175" s="2184"/>
      <c r="I175" s="2185"/>
      <c r="J175" s="2186"/>
      <c r="K175" s="2186"/>
      <c r="L175" s="2186"/>
      <c r="M175" s="2187"/>
    </row>
    <row r="176" spans="1:13">
      <c r="A176" s="2191"/>
      <c r="B176" s="2187"/>
      <c r="C176" s="2186"/>
      <c r="D176" s="2186"/>
      <c r="E176" s="2183"/>
      <c r="F176" s="2184"/>
      <c r="G176" s="2184"/>
      <c r="H176" s="2184"/>
      <c r="I176" s="2185"/>
      <c r="J176" s="2186"/>
      <c r="K176" s="2186"/>
      <c r="L176" s="2186"/>
      <c r="M176" s="2187"/>
    </row>
    <row r="177" spans="1:13">
      <c r="A177" s="2191"/>
      <c r="B177" s="2187"/>
      <c r="C177" s="2186"/>
      <c r="D177" s="2186"/>
      <c r="E177" s="2183"/>
      <c r="F177" s="2184"/>
      <c r="G177" s="2184"/>
      <c r="H177" s="2184"/>
      <c r="I177" s="2185"/>
      <c r="J177" s="2186"/>
      <c r="K177" s="2186"/>
      <c r="L177" s="2186"/>
      <c r="M177" s="2187"/>
    </row>
    <row r="178" spans="1:13">
      <c r="A178" s="2191"/>
      <c r="B178" s="2187"/>
      <c r="C178" s="2186"/>
      <c r="D178" s="2186"/>
      <c r="E178" s="2183"/>
      <c r="F178" s="2184"/>
      <c r="G178" s="2184"/>
      <c r="H178" s="2184"/>
      <c r="I178" s="2185"/>
      <c r="J178" s="2186"/>
      <c r="K178" s="2186"/>
      <c r="L178" s="2186"/>
      <c r="M178" s="2187"/>
    </row>
    <row r="179" spans="1:13">
      <c r="A179" s="2191"/>
      <c r="B179" s="2187"/>
      <c r="C179" s="2186"/>
      <c r="D179" s="2186"/>
      <c r="E179" s="2183"/>
      <c r="F179" s="2184"/>
      <c r="G179" s="2184"/>
      <c r="H179" s="2184"/>
      <c r="I179" s="2185"/>
      <c r="J179" s="2186"/>
      <c r="K179" s="2186"/>
      <c r="L179" s="2186"/>
      <c r="M179" s="2187"/>
    </row>
    <row r="180" spans="1:13">
      <c r="A180" s="2191"/>
      <c r="B180" s="2187"/>
      <c r="C180" s="2186"/>
      <c r="D180" s="2186"/>
      <c r="E180" s="2183"/>
      <c r="F180" s="2184"/>
      <c r="G180" s="2184"/>
      <c r="H180" s="2184"/>
      <c r="I180" s="2185"/>
      <c r="J180" s="2186"/>
      <c r="K180" s="2186"/>
      <c r="L180" s="2186"/>
      <c r="M180" s="2187"/>
    </row>
    <row r="181" spans="1:13">
      <c r="A181" s="2191"/>
      <c r="B181" s="2187"/>
      <c r="C181" s="2186"/>
      <c r="D181" s="2186"/>
      <c r="E181" s="2183"/>
      <c r="F181" s="2184"/>
      <c r="G181" s="2184"/>
      <c r="H181" s="2184"/>
      <c r="I181" s="2185"/>
      <c r="J181" s="2186"/>
      <c r="K181" s="2186"/>
      <c r="L181" s="2186"/>
      <c r="M181" s="2187"/>
    </row>
    <row r="182" spans="1:13">
      <c r="A182" s="2191"/>
      <c r="B182" s="2187"/>
      <c r="C182" s="2186"/>
      <c r="D182" s="2186"/>
      <c r="E182" s="2183"/>
      <c r="F182" s="2184"/>
      <c r="G182" s="2184"/>
      <c r="H182" s="2184"/>
      <c r="I182" s="2185"/>
      <c r="J182" s="2186"/>
      <c r="K182" s="2186"/>
      <c r="L182" s="2186"/>
      <c r="M182" s="2187"/>
    </row>
    <row r="183" spans="1:13">
      <c r="A183" s="2191"/>
      <c r="B183" s="2187"/>
      <c r="C183" s="2186"/>
      <c r="D183" s="2186"/>
      <c r="E183" s="2183"/>
      <c r="F183" s="2184"/>
      <c r="G183" s="2184"/>
      <c r="H183" s="2184"/>
      <c r="I183" s="2185"/>
      <c r="J183" s="2186"/>
      <c r="K183" s="2186"/>
      <c r="L183" s="2186"/>
      <c r="M183" s="2187"/>
    </row>
    <row r="184" spans="1:13">
      <c r="A184" s="2191"/>
      <c r="B184" s="2187"/>
      <c r="C184" s="2186"/>
      <c r="D184" s="2186"/>
      <c r="E184" s="2183"/>
      <c r="F184" s="2184"/>
      <c r="G184" s="2184"/>
      <c r="H184" s="2184"/>
      <c r="I184" s="2185"/>
      <c r="J184" s="2186"/>
      <c r="K184" s="2186"/>
      <c r="L184" s="2186"/>
      <c r="M184" s="2187"/>
    </row>
    <row r="185" spans="1:13">
      <c r="A185" s="2191"/>
      <c r="B185" s="2187"/>
      <c r="C185" s="2186"/>
      <c r="D185" s="2186"/>
      <c r="E185" s="2183"/>
      <c r="F185" s="2184"/>
      <c r="G185" s="2184"/>
      <c r="H185" s="2184"/>
      <c r="I185" s="2185"/>
      <c r="J185" s="2186"/>
      <c r="K185" s="2186"/>
      <c r="L185" s="2186"/>
      <c r="M185" s="2187"/>
    </row>
    <row r="186" spans="1:13">
      <c r="A186" s="2191"/>
      <c r="B186" s="2187"/>
      <c r="C186" s="2186"/>
      <c r="D186" s="2186"/>
      <c r="E186" s="2183"/>
      <c r="F186" s="2184"/>
      <c r="G186" s="2184"/>
      <c r="H186" s="2184"/>
      <c r="I186" s="2185"/>
      <c r="J186" s="2186"/>
      <c r="K186" s="2186"/>
      <c r="L186" s="2186"/>
      <c r="M186" s="2187"/>
    </row>
    <row r="187" spans="1:13">
      <c r="A187" s="2191"/>
      <c r="B187" s="2187"/>
      <c r="C187" s="2186"/>
      <c r="D187" s="2186"/>
      <c r="E187" s="2183"/>
      <c r="F187" s="2184"/>
      <c r="G187" s="2184"/>
      <c r="H187" s="2184"/>
      <c r="I187" s="2185"/>
      <c r="J187" s="2186"/>
      <c r="K187" s="2186"/>
      <c r="L187" s="2186"/>
      <c r="M187" s="2187"/>
    </row>
    <row r="188" spans="1:13">
      <c r="A188" s="2191"/>
      <c r="B188" s="2187"/>
      <c r="C188" s="2186"/>
      <c r="D188" s="2186"/>
      <c r="E188" s="2183"/>
      <c r="F188" s="2184"/>
      <c r="G188" s="2184"/>
      <c r="H188" s="2184"/>
      <c r="I188" s="2185"/>
      <c r="J188" s="2186"/>
      <c r="K188" s="2186"/>
      <c r="L188" s="2186"/>
      <c r="M188" s="2187"/>
    </row>
    <row r="189" spans="1:13">
      <c r="A189" s="2191"/>
      <c r="B189" s="2187"/>
      <c r="C189" s="2186"/>
      <c r="D189" s="2186"/>
      <c r="E189" s="2183"/>
      <c r="F189" s="2184"/>
      <c r="G189" s="2184"/>
      <c r="H189" s="2184"/>
      <c r="I189" s="2185"/>
      <c r="J189" s="2186"/>
      <c r="K189" s="2186"/>
      <c r="L189" s="2186"/>
      <c r="M189" s="2187"/>
    </row>
    <row r="190" spans="1:13">
      <c r="A190" s="2191"/>
      <c r="B190" s="2187"/>
      <c r="C190" s="2186"/>
      <c r="D190" s="2186"/>
      <c r="E190" s="2183"/>
      <c r="F190" s="2184"/>
      <c r="G190" s="2184"/>
      <c r="H190" s="2184"/>
      <c r="I190" s="2185"/>
      <c r="J190" s="2186"/>
      <c r="K190" s="2186"/>
      <c r="L190" s="2186"/>
      <c r="M190" s="2187"/>
    </row>
    <row r="191" spans="1:13">
      <c r="A191" s="2191"/>
      <c r="B191" s="2187"/>
      <c r="C191" s="2186"/>
      <c r="D191" s="2186"/>
      <c r="E191" s="2183"/>
      <c r="F191" s="2184"/>
      <c r="G191" s="2184"/>
      <c r="H191" s="2184"/>
      <c r="I191" s="2185"/>
      <c r="J191" s="2186"/>
      <c r="K191" s="2186"/>
      <c r="L191" s="2186"/>
      <c r="M191" s="2187"/>
    </row>
    <row r="192" spans="1:13">
      <c r="A192" s="2191"/>
      <c r="B192" s="2187"/>
      <c r="C192" s="2186"/>
      <c r="D192" s="2186"/>
      <c r="E192" s="2183"/>
      <c r="F192" s="2184"/>
      <c r="G192" s="2184"/>
      <c r="H192" s="2184"/>
      <c r="I192" s="2185"/>
      <c r="J192" s="2186"/>
      <c r="K192" s="2186"/>
      <c r="L192" s="2186"/>
      <c r="M192" s="2187"/>
    </row>
    <row r="193" spans="1:13">
      <c r="A193" s="2191"/>
      <c r="B193" s="2187"/>
      <c r="C193" s="2186"/>
      <c r="D193" s="2186"/>
      <c r="E193" s="2183"/>
      <c r="F193" s="2184"/>
      <c r="G193" s="2184"/>
      <c r="H193" s="2184"/>
      <c r="I193" s="2185"/>
      <c r="J193" s="2186"/>
      <c r="K193" s="2186"/>
      <c r="L193" s="2186"/>
      <c r="M193" s="2187"/>
    </row>
    <row r="194" spans="1:13">
      <c r="A194" s="2191"/>
      <c r="B194" s="2187"/>
      <c r="C194" s="2186"/>
      <c r="D194" s="2186"/>
      <c r="E194" s="2183"/>
      <c r="F194" s="2184"/>
      <c r="G194" s="2184"/>
      <c r="H194" s="2184"/>
      <c r="I194" s="2185"/>
      <c r="J194" s="2186"/>
      <c r="K194" s="2186"/>
      <c r="L194" s="2186"/>
      <c r="M194" s="2187"/>
    </row>
    <row r="195" spans="1:13">
      <c r="A195" s="2191"/>
      <c r="B195" s="2187"/>
      <c r="C195" s="2186"/>
      <c r="D195" s="2186"/>
      <c r="E195" s="2183"/>
      <c r="F195" s="2184"/>
      <c r="G195" s="2184"/>
      <c r="H195" s="2184"/>
      <c r="I195" s="2185"/>
      <c r="J195" s="2186"/>
      <c r="K195" s="2186"/>
      <c r="L195" s="2186"/>
      <c r="M195" s="2187"/>
    </row>
    <row r="196" spans="1:13">
      <c r="A196" s="2191"/>
      <c r="B196" s="2187"/>
      <c r="C196" s="2186"/>
      <c r="D196" s="2186"/>
      <c r="E196" s="2183"/>
      <c r="F196" s="2184"/>
      <c r="G196" s="2184"/>
      <c r="H196" s="2184"/>
      <c r="I196" s="2185"/>
      <c r="J196" s="2186"/>
      <c r="K196" s="2186"/>
      <c r="L196" s="2186"/>
      <c r="M196" s="2187"/>
    </row>
    <row r="197" spans="1:13">
      <c r="A197" s="2191"/>
      <c r="B197" s="2187"/>
      <c r="C197" s="2186"/>
      <c r="D197" s="2186"/>
      <c r="E197" s="2183"/>
      <c r="F197" s="2184"/>
      <c r="G197" s="2184"/>
      <c r="H197" s="2184"/>
      <c r="I197" s="2185"/>
      <c r="J197" s="2186"/>
      <c r="K197" s="2186"/>
      <c r="L197" s="2186"/>
      <c r="M197" s="2187"/>
    </row>
    <row r="198" spans="1:13">
      <c r="A198" s="2191"/>
      <c r="B198" s="2187"/>
      <c r="C198" s="2186"/>
      <c r="D198" s="2186"/>
      <c r="E198" s="2183"/>
      <c r="F198" s="2184"/>
      <c r="G198" s="2184"/>
      <c r="H198" s="2184"/>
      <c r="I198" s="2185"/>
      <c r="J198" s="2186"/>
      <c r="K198" s="2186"/>
      <c r="L198" s="2186"/>
      <c r="M198" s="2187"/>
    </row>
    <row r="199" spans="1:13">
      <c r="A199" s="2191"/>
      <c r="B199" s="2187"/>
      <c r="C199" s="2186"/>
      <c r="D199" s="2186"/>
      <c r="E199" s="2183"/>
      <c r="F199" s="2184"/>
      <c r="G199" s="2184"/>
      <c r="H199" s="2184"/>
      <c r="I199" s="2185"/>
      <c r="J199" s="2186"/>
      <c r="K199" s="2186"/>
      <c r="L199" s="2186"/>
      <c r="M199" s="2187"/>
    </row>
    <row r="200" spans="1:13">
      <c r="A200" s="2191"/>
      <c r="B200" s="2187"/>
      <c r="C200" s="2186"/>
      <c r="D200" s="2186"/>
      <c r="E200" s="2183"/>
      <c r="F200" s="2184"/>
      <c r="G200" s="2184"/>
      <c r="H200" s="2184"/>
      <c r="I200" s="2185"/>
      <c r="J200" s="2186"/>
      <c r="K200" s="2186"/>
      <c r="L200" s="2186"/>
      <c r="M200" s="2187"/>
    </row>
    <row r="201" spans="1:13">
      <c r="A201" s="2191"/>
      <c r="B201" s="2187"/>
      <c r="C201" s="2186"/>
      <c r="D201" s="2186"/>
      <c r="E201" s="2183"/>
      <c r="F201" s="2184"/>
      <c r="G201" s="2184"/>
      <c r="H201" s="2184"/>
      <c r="I201" s="2185"/>
      <c r="J201" s="2186"/>
      <c r="K201" s="2186"/>
      <c r="L201" s="2186"/>
      <c r="M201" s="2187"/>
    </row>
    <row r="202" spans="1:13">
      <c r="A202" s="2191"/>
      <c r="B202" s="2187"/>
      <c r="C202" s="2186"/>
      <c r="D202" s="2186"/>
      <c r="E202" s="2183"/>
      <c r="F202" s="2184"/>
      <c r="G202" s="2184"/>
      <c r="H202" s="2184"/>
      <c r="I202" s="2185"/>
      <c r="J202" s="2186"/>
      <c r="K202" s="2186"/>
      <c r="L202" s="2186"/>
      <c r="M202" s="2187"/>
    </row>
    <row r="203" spans="1:13">
      <c r="A203" s="2191"/>
      <c r="B203" s="2187"/>
      <c r="C203" s="2186"/>
      <c r="D203" s="2186"/>
      <c r="E203" s="2183"/>
      <c r="F203" s="2184"/>
      <c r="G203" s="2184"/>
      <c r="H203" s="2184"/>
      <c r="I203" s="2185"/>
      <c r="J203" s="2186"/>
      <c r="K203" s="2186"/>
      <c r="L203" s="2186"/>
      <c r="M203" s="2187"/>
    </row>
    <row r="204" spans="1:13">
      <c r="A204" s="2191"/>
      <c r="B204" s="2187"/>
      <c r="C204" s="2186"/>
      <c r="D204" s="2186"/>
      <c r="E204" s="2183"/>
      <c r="F204" s="2184"/>
      <c r="G204" s="2184"/>
      <c r="H204" s="2184"/>
      <c r="I204" s="2185"/>
      <c r="J204" s="2186"/>
      <c r="K204" s="2186"/>
      <c r="L204" s="2186"/>
      <c r="M204" s="2187"/>
    </row>
    <row r="205" spans="1:13">
      <c r="A205" s="2191"/>
      <c r="B205" s="2187"/>
      <c r="C205" s="2186"/>
      <c r="D205" s="2186"/>
      <c r="E205" s="2183"/>
      <c r="F205" s="2184"/>
      <c r="G205" s="2184"/>
      <c r="H205" s="2184"/>
      <c r="I205" s="2185"/>
      <c r="J205" s="2186"/>
      <c r="K205" s="2186"/>
      <c r="L205" s="2186"/>
      <c r="M205" s="2187"/>
    </row>
    <row r="206" spans="1:13">
      <c r="A206" s="2191"/>
      <c r="B206" s="2187"/>
      <c r="C206" s="2186"/>
      <c r="D206" s="2186"/>
      <c r="E206" s="2183"/>
      <c r="F206" s="2184"/>
      <c r="G206" s="2184"/>
      <c r="H206" s="2184"/>
      <c r="I206" s="2185"/>
      <c r="J206" s="2186"/>
      <c r="K206" s="2186"/>
      <c r="L206" s="2186"/>
      <c r="M206" s="2187"/>
    </row>
    <row r="207" spans="1:13">
      <c r="A207" s="2191"/>
      <c r="B207" s="2187"/>
      <c r="C207" s="2186"/>
      <c r="D207" s="2186"/>
      <c r="E207" s="2183"/>
      <c r="F207" s="2184"/>
      <c r="G207" s="2184"/>
      <c r="H207" s="2184"/>
      <c r="I207" s="2185"/>
      <c r="J207" s="2186"/>
      <c r="K207" s="2186"/>
      <c r="L207" s="2186"/>
      <c r="M207" s="2187"/>
    </row>
    <row r="208" spans="1:13">
      <c r="A208" s="2191"/>
      <c r="B208" s="2187"/>
      <c r="C208" s="2186"/>
      <c r="D208" s="2186"/>
      <c r="E208" s="2183"/>
      <c r="F208" s="2184"/>
      <c r="G208" s="2184"/>
      <c r="H208" s="2184"/>
      <c r="I208" s="2185"/>
      <c r="J208" s="2186"/>
      <c r="K208" s="2186"/>
      <c r="L208" s="2186"/>
      <c r="M208" s="2187"/>
    </row>
    <row r="209" spans="1:13">
      <c r="A209" s="2191"/>
      <c r="B209" s="2187"/>
      <c r="C209" s="2186"/>
      <c r="D209" s="2186"/>
      <c r="E209" s="2183"/>
      <c r="F209" s="2184"/>
      <c r="G209" s="2184"/>
      <c r="H209" s="2184"/>
      <c r="I209" s="2185"/>
      <c r="J209" s="2186"/>
      <c r="K209" s="2186"/>
      <c r="L209" s="2186"/>
      <c r="M209" s="2187"/>
    </row>
    <row r="210" spans="1:13">
      <c r="A210" s="2191"/>
      <c r="B210" s="2187"/>
      <c r="C210" s="2186"/>
      <c r="D210" s="2186"/>
      <c r="E210" s="2183"/>
      <c r="F210" s="2184"/>
      <c r="G210" s="2184"/>
      <c r="H210" s="2184"/>
      <c r="I210" s="2185"/>
      <c r="J210" s="2186"/>
      <c r="K210" s="2186"/>
      <c r="L210" s="2186"/>
      <c r="M210" s="2187"/>
    </row>
    <row r="211" spans="1:13">
      <c r="A211" s="2191"/>
      <c r="B211" s="2187"/>
      <c r="C211" s="2186"/>
      <c r="D211" s="2186"/>
      <c r="E211" s="2183"/>
      <c r="F211" s="2184"/>
      <c r="G211" s="2184"/>
      <c r="H211" s="2184"/>
      <c r="I211" s="2185"/>
      <c r="J211" s="2186"/>
      <c r="K211" s="2186"/>
      <c r="L211" s="2186"/>
      <c r="M211" s="2187"/>
    </row>
    <row r="212" spans="1:13">
      <c r="A212" s="2191"/>
      <c r="B212" s="2187"/>
      <c r="C212" s="2186"/>
      <c r="D212" s="2186"/>
      <c r="E212" s="2183"/>
      <c r="F212" s="2184"/>
      <c r="G212" s="2184"/>
      <c r="H212" s="2184"/>
      <c r="I212" s="2185"/>
      <c r="J212" s="2186"/>
      <c r="K212" s="2186"/>
      <c r="L212" s="2186"/>
      <c r="M212" s="2187"/>
    </row>
    <row r="213" spans="1:13">
      <c r="A213" s="2191"/>
      <c r="B213" s="2187"/>
      <c r="C213" s="2186"/>
      <c r="D213" s="2186"/>
      <c r="E213" s="2183"/>
      <c r="F213" s="2184"/>
      <c r="G213" s="2184"/>
      <c r="H213" s="2184"/>
      <c r="I213" s="2185"/>
      <c r="J213" s="2186"/>
      <c r="K213" s="2186"/>
      <c r="L213" s="2186"/>
      <c r="M213" s="2187"/>
    </row>
    <row r="214" spans="1:13">
      <c r="A214" s="2191"/>
      <c r="B214" s="2187"/>
      <c r="C214" s="2186"/>
      <c r="D214" s="2186"/>
      <c r="E214" s="2183"/>
      <c r="F214" s="2184"/>
      <c r="G214" s="2184"/>
      <c r="H214" s="2184"/>
      <c r="I214" s="2185"/>
      <c r="J214" s="2186"/>
      <c r="K214" s="2186"/>
      <c r="L214" s="2186"/>
      <c r="M214" s="2187"/>
    </row>
    <row r="215" spans="1:13">
      <c r="A215" s="2191"/>
      <c r="B215" s="2187"/>
      <c r="C215" s="2186"/>
      <c r="D215" s="2186"/>
      <c r="E215" s="2183"/>
      <c r="F215" s="2184"/>
      <c r="G215" s="2184"/>
      <c r="H215" s="2184"/>
      <c r="I215" s="2185"/>
      <c r="J215" s="2186"/>
      <c r="K215" s="2186"/>
      <c r="L215" s="2186"/>
      <c r="M215" s="2187"/>
    </row>
    <row r="216" spans="1:13">
      <c r="A216" s="2191"/>
      <c r="B216" s="2187"/>
      <c r="C216" s="2186"/>
      <c r="D216" s="2186"/>
      <c r="E216" s="2183"/>
      <c r="F216" s="2184"/>
      <c r="G216" s="2184"/>
      <c r="H216" s="2184"/>
      <c r="I216" s="2185"/>
      <c r="J216" s="2186"/>
      <c r="K216" s="2186"/>
      <c r="L216" s="2186"/>
      <c r="M216" s="2187"/>
    </row>
    <row r="217" spans="1:13">
      <c r="A217" s="2191"/>
      <c r="B217" s="2187"/>
      <c r="C217" s="2186"/>
      <c r="D217" s="2186"/>
      <c r="E217" s="2183"/>
      <c r="F217" s="2184"/>
      <c r="G217" s="2184"/>
      <c r="H217" s="2184"/>
      <c r="I217" s="2185"/>
      <c r="J217" s="2186"/>
      <c r="K217" s="2186"/>
      <c r="L217" s="2186"/>
      <c r="M217" s="2187"/>
    </row>
    <row r="218" spans="1:13">
      <c r="A218" s="2191"/>
      <c r="B218" s="2187"/>
      <c r="C218" s="2186"/>
      <c r="D218" s="2186"/>
      <c r="E218" s="2183"/>
      <c r="F218" s="2184"/>
      <c r="G218" s="2184"/>
      <c r="H218" s="2184"/>
      <c r="I218" s="2185"/>
      <c r="J218" s="2186"/>
      <c r="K218" s="2186"/>
      <c r="L218" s="2186"/>
      <c r="M218" s="2187"/>
    </row>
    <row r="219" spans="1:13">
      <c r="A219" s="2191"/>
      <c r="B219" s="2187"/>
      <c r="C219" s="2186"/>
      <c r="D219" s="2186"/>
      <c r="E219" s="2183"/>
      <c r="F219" s="2184"/>
      <c r="G219" s="2184"/>
      <c r="H219" s="2184"/>
      <c r="I219" s="2185"/>
      <c r="J219" s="2186"/>
      <c r="K219" s="2186"/>
      <c r="L219" s="2186"/>
      <c r="M219" s="2187"/>
    </row>
    <row r="220" spans="1:13">
      <c r="A220" s="2191"/>
      <c r="B220" s="2187"/>
      <c r="C220" s="2186"/>
      <c r="D220" s="2186"/>
      <c r="E220" s="2183"/>
      <c r="F220" s="2184"/>
      <c r="G220" s="2184"/>
      <c r="H220" s="2184"/>
      <c r="I220" s="2185"/>
      <c r="J220" s="2186"/>
      <c r="K220" s="2186"/>
      <c r="L220" s="2186"/>
      <c r="M220" s="2187"/>
    </row>
    <row r="221" spans="1:13">
      <c r="A221" s="2191"/>
      <c r="B221" s="2187"/>
      <c r="C221" s="2186"/>
      <c r="D221" s="2186"/>
      <c r="E221" s="2183"/>
      <c r="F221" s="2184"/>
      <c r="G221" s="2184"/>
      <c r="H221" s="2184"/>
      <c r="I221" s="2185"/>
      <c r="J221" s="2186"/>
      <c r="K221" s="2186"/>
      <c r="L221" s="2186"/>
      <c r="M221" s="2187"/>
    </row>
    <row r="222" spans="1:13">
      <c r="A222" s="2191"/>
      <c r="B222" s="2187"/>
      <c r="C222" s="2186"/>
      <c r="D222" s="2186"/>
      <c r="E222" s="2183"/>
      <c r="F222" s="2184"/>
      <c r="G222" s="2184"/>
      <c r="H222" s="2184"/>
      <c r="I222" s="2185"/>
      <c r="J222" s="2186"/>
      <c r="K222" s="2186"/>
      <c r="L222" s="2186"/>
      <c r="M222" s="2187"/>
    </row>
    <row r="223" spans="1:13">
      <c r="A223" s="2191"/>
      <c r="B223" s="2187"/>
      <c r="C223" s="2186"/>
      <c r="D223" s="2186"/>
      <c r="E223" s="2183"/>
      <c r="F223" s="2184"/>
      <c r="G223" s="2184"/>
      <c r="H223" s="2184"/>
      <c r="I223" s="2185"/>
      <c r="J223" s="2186"/>
      <c r="K223" s="2186"/>
      <c r="L223" s="2186"/>
      <c r="M223" s="2187"/>
    </row>
    <row r="224" spans="1:13">
      <c r="A224" s="2191"/>
      <c r="B224" s="2187"/>
      <c r="C224" s="2186"/>
      <c r="D224" s="2186"/>
      <c r="E224" s="2183"/>
      <c r="F224" s="2184"/>
      <c r="G224" s="2184"/>
      <c r="H224" s="2184"/>
      <c r="I224" s="2185"/>
      <c r="J224" s="2186"/>
      <c r="K224" s="2186"/>
      <c r="L224" s="2186"/>
      <c r="M224" s="2187"/>
    </row>
    <row r="225" spans="1:13" ht="13.8" thickBot="1">
      <c r="A225" s="2216"/>
      <c r="B225" s="2217"/>
      <c r="C225" s="2186"/>
      <c r="D225" s="2186"/>
      <c r="E225" s="2188"/>
      <c r="F225" s="2189"/>
      <c r="G225" s="2189"/>
      <c r="H225" s="2189"/>
      <c r="I225" s="2190"/>
      <c r="J225" s="2186"/>
      <c r="K225" s="2186"/>
      <c r="L225" s="2186"/>
      <c r="M225" s="2187"/>
    </row>
  </sheetData>
  <sheetProtection algorithmName="SHA-512" hashValue="Fg6ttBbM4dJi2v2yG1lZubvd/q0c7JAmydMl84X4ZQw52M9VWqCqJ7zQjwW5bK/4sJv8hPaNq/cF4hWd06JncQ==" saltValue="m3iuETjMe2hJ4pR2lUuMbQ==" spinCount="100000" sheet="1" objects="1" scenarios="1"/>
  <mergeCells count="880">
    <mergeCell ref="A225:B225"/>
    <mergeCell ref="C225:D225"/>
    <mergeCell ref="A4:M6"/>
    <mergeCell ref="A223:B223"/>
    <mergeCell ref="C223:D223"/>
    <mergeCell ref="A224:B224"/>
    <mergeCell ref="C224:D224"/>
    <mergeCell ref="A221:B221"/>
    <mergeCell ref="C221:D221"/>
    <mergeCell ref="A222:B222"/>
    <mergeCell ref="C222:D222"/>
    <mergeCell ref="A219:B219"/>
    <mergeCell ref="C219:D219"/>
    <mergeCell ref="A220:B220"/>
    <mergeCell ref="C220:D220"/>
    <mergeCell ref="A217:B217"/>
    <mergeCell ref="C217:D217"/>
    <mergeCell ref="A102:B102"/>
    <mergeCell ref="C102:D102"/>
    <mergeCell ref="E102:I102"/>
    <mergeCell ref="J102:M102"/>
    <mergeCell ref="A101:B101"/>
    <mergeCell ref="C101:D101"/>
    <mergeCell ref="E101:I101"/>
    <mergeCell ref="A218:B218"/>
    <mergeCell ref="C218:D218"/>
    <mergeCell ref="A215:B215"/>
    <mergeCell ref="C215:D215"/>
    <mergeCell ref="A216:B216"/>
    <mergeCell ref="C216:D216"/>
    <mergeCell ref="E215:I215"/>
    <mergeCell ref="J215:M215"/>
    <mergeCell ref="E216:I216"/>
    <mergeCell ref="J216:M216"/>
    <mergeCell ref="E217:I217"/>
    <mergeCell ref="J217:M217"/>
    <mergeCell ref="E218:I218"/>
    <mergeCell ref="J218:M218"/>
    <mergeCell ref="A214:B214"/>
    <mergeCell ref="C214:D214"/>
    <mergeCell ref="A211:B211"/>
    <mergeCell ref="C211:D211"/>
    <mergeCell ref="A212:B212"/>
    <mergeCell ref="C212:D212"/>
    <mergeCell ref="E211:I211"/>
    <mergeCell ref="J211:M211"/>
    <mergeCell ref="E212:I212"/>
    <mergeCell ref="J212:M212"/>
    <mergeCell ref="E213:I213"/>
    <mergeCell ref="J213:M213"/>
    <mergeCell ref="E214:I214"/>
    <mergeCell ref="J214:M214"/>
    <mergeCell ref="J207:M207"/>
    <mergeCell ref="E208:I208"/>
    <mergeCell ref="J208:M208"/>
    <mergeCell ref="E209:I209"/>
    <mergeCell ref="J209:M209"/>
    <mergeCell ref="E210:I210"/>
    <mergeCell ref="J210:M210"/>
    <mergeCell ref="A213:B213"/>
    <mergeCell ref="C213:D213"/>
    <mergeCell ref="A209:B209"/>
    <mergeCell ref="C209:D209"/>
    <mergeCell ref="A210:B210"/>
    <mergeCell ref="C210:D210"/>
    <mergeCell ref="A207:B207"/>
    <mergeCell ref="C207:D207"/>
    <mergeCell ref="A208:B208"/>
    <mergeCell ref="C208:D208"/>
    <mergeCell ref="E207:I207"/>
    <mergeCell ref="A206:B206"/>
    <mergeCell ref="C206:D206"/>
    <mergeCell ref="A203:B203"/>
    <mergeCell ref="C203:D203"/>
    <mergeCell ref="A204:B204"/>
    <mergeCell ref="C204:D204"/>
    <mergeCell ref="E203:I203"/>
    <mergeCell ref="J203:M203"/>
    <mergeCell ref="E204:I204"/>
    <mergeCell ref="J204:M204"/>
    <mergeCell ref="E205:I205"/>
    <mergeCell ref="J205:M205"/>
    <mergeCell ref="E206:I206"/>
    <mergeCell ref="J206:M206"/>
    <mergeCell ref="J199:M199"/>
    <mergeCell ref="E200:I200"/>
    <mergeCell ref="J200:M200"/>
    <mergeCell ref="E201:I201"/>
    <mergeCell ref="J201:M201"/>
    <mergeCell ref="E202:I202"/>
    <mergeCell ref="J202:M202"/>
    <mergeCell ref="A205:B205"/>
    <mergeCell ref="C205:D205"/>
    <mergeCell ref="A201:B201"/>
    <mergeCell ref="C201:D201"/>
    <mergeCell ref="A202:B202"/>
    <mergeCell ref="C202:D202"/>
    <mergeCell ref="A199:B199"/>
    <mergeCell ref="C199:D199"/>
    <mergeCell ref="A200:B200"/>
    <mergeCell ref="C200:D200"/>
    <mergeCell ref="E199:I199"/>
    <mergeCell ref="A198:B198"/>
    <mergeCell ref="C198:D198"/>
    <mergeCell ref="A195:B195"/>
    <mergeCell ref="C195:D195"/>
    <mergeCell ref="A196:B196"/>
    <mergeCell ref="C196:D196"/>
    <mergeCell ref="E195:I195"/>
    <mergeCell ref="J195:M195"/>
    <mergeCell ref="E196:I196"/>
    <mergeCell ref="J196:M196"/>
    <mergeCell ref="E197:I197"/>
    <mergeCell ref="J197:M197"/>
    <mergeCell ref="E198:I198"/>
    <mergeCell ref="J198:M198"/>
    <mergeCell ref="J191:M191"/>
    <mergeCell ref="E192:I192"/>
    <mergeCell ref="J192:M192"/>
    <mergeCell ref="E193:I193"/>
    <mergeCell ref="J193:M193"/>
    <mergeCell ref="E194:I194"/>
    <mergeCell ref="J194:M194"/>
    <mergeCell ref="A197:B197"/>
    <mergeCell ref="C197:D197"/>
    <mergeCell ref="A193:B193"/>
    <mergeCell ref="C193:D193"/>
    <mergeCell ref="A194:B194"/>
    <mergeCell ref="C194:D194"/>
    <mergeCell ref="A191:B191"/>
    <mergeCell ref="C191:D191"/>
    <mergeCell ref="A192:B192"/>
    <mergeCell ref="C192:D192"/>
    <mergeCell ref="E191:I191"/>
    <mergeCell ref="A190:B190"/>
    <mergeCell ref="C190:D190"/>
    <mergeCell ref="A187:B187"/>
    <mergeCell ref="C187:D187"/>
    <mergeCell ref="A188:B188"/>
    <mergeCell ref="C188:D188"/>
    <mergeCell ref="E187:I187"/>
    <mergeCell ref="J187:M187"/>
    <mergeCell ref="E188:I188"/>
    <mergeCell ref="J188:M188"/>
    <mergeCell ref="E189:I189"/>
    <mergeCell ref="J189:M189"/>
    <mergeCell ref="E190:I190"/>
    <mergeCell ref="J190:M190"/>
    <mergeCell ref="J183:M183"/>
    <mergeCell ref="E184:I184"/>
    <mergeCell ref="J184:M184"/>
    <mergeCell ref="E185:I185"/>
    <mergeCell ref="J185:M185"/>
    <mergeCell ref="E186:I186"/>
    <mergeCell ref="J186:M186"/>
    <mergeCell ref="A189:B189"/>
    <mergeCell ref="C189:D189"/>
    <mergeCell ref="A185:B185"/>
    <mergeCell ref="C185:D185"/>
    <mergeCell ref="A186:B186"/>
    <mergeCell ref="C186:D186"/>
    <mergeCell ref="A183:B183"/>
    <mergeCell ref="C183:D183"/>
    <mergeCell ref="A184:B184"/>
    <mergeCell ref="C184:D184"/>
    <mergeCell ref="E183:I183"/>
    <mergeCell ref="A182:B182"/>
    <mergeCell ref="C182:D182"/>
    <mergeCell ref="A179:B179"/>
    <mergeCell ref="C179:D179"/>
    <mergeCell ref="A180:B180"/>
    <mergeCell ref="C180:D180"/>
    <mergeCell ref="E179:I179"/>
    <mergeCell ref="J179:M179"/>
    <mergeCell ref="E180:I180"/>
    <mergeCell ref="J180:M180"/>
    <mergeCell ref="E181:I181"/>
    <mergeCell ref="J181:M181"/>
    <mergeCell ref="E182:I182"/>
    <mergeCell ref="J182:M182"/>
    <mergeCell ref="J175:M175"/>
    <mergeCell ref="E176:I176"/>
    <mergeCell ref="J176:M176"/>
    <mergeCell ref="E177:I177"/>
    <mergeCell ref="J177:M177"/>
    <mergeCell ref="E178:I178"/>
    <mergeCell ref="J178:M178"/>
    <mergeCell ref="A181:B181"/>
    <mergeCell ref="C181:D181"/>
    <mergeCell ref="A177:B177"/>
    <mergeCell ref="C177:D177"/>
    <mergeCell ref="A178:B178"/>
    <mergeCell ref="C178:D178"/>
    <mergeCell ref="A175:B175"/>
    <mergeCell ref="C175:D175"/>
    <mergeCell ref="A176:B176"/>
    <mergeCell ref="C176:D176"/>
    <mergeCell ref="E175:I175"/>
    <mergeCell ref="A174:B174"/>
    <mergeCell ref="C174:D174"/>
    <mergeCell ref="A171:B171"/>
    <mergeCell ref="C171:D171"/>
    <mergeCell ref="A172:B172"/>
    <mergeCell ref="C172:D172"/>
    <mergeCell ref="E171:I171"/>
    <mergeCell ref="J171:M171"/>
    <mergeCell ref="E172:I172"/>
    <mergeCell ref="J172:M172"/>
    <mergeCell ref="E173:I173"/>
    <mergeCell ref="J173:M173"/>
    <mergeCell ref="E174:I174"/>
    <mergeCell ref="J174:M174"/>
    <mergeCell ref="J167:M167"/>
    <mergeCell ref="E168:I168"/>
    <mergeCell ref="J168:M168"/>
    <mergeCell ref="E169:I169"/>
    <mergeCell ref="J169:M169"/>
    <mergeCell ref="E170:I170"/>
    <mergeCell ref="J170:M170"/>
    <mergeCell ref="A173:B173"/>
    <mergeCell ref="C173:D173"/>
    <mergeCell ref="A169:B169"/>
    <mergeCell ref="C169:D169"/>
    <mergeCell ref="A170:B170"/>
    <mergeCell ref="C170:D170"/>
    <mergeCell ref="A167:B167"/>
    <mergeCell ref="C167:D167"/>
    <mergeCell ref="A168:B168"/>
    <mergeCell ref="C168:D168"/>
    <mergeCell ref="E167:I167"/>
    <mergeCell ref="A166:B166"/>
    <mergeCell ref="C166:D166"/>
    <mergeCell ref="A163:B163"/>
    <mergeCell ref="C163:D163"/>
    <mergeCell ref="A164:B164"/>
    <mergeCell ref="C164:D164"/>
    <mergeCell ref="E163:I163"/>
    <mergeCell ref="J163:M163"/>
    <mergeCell ref="E164:I164"/>
    <mergeCell ref="J164:M164"/>
    <mergeCell ref="E165:I165"/>
    <mergeCell ref="J165:M165"/>
    <mergeCell ref="E166:I166"/>
    <mergeCell ref="J166:M166"/>
    <mergeCell ref="J159:M159"/>
    <mergeCell ref="E160:I160"/>
    <mergeCell ref="J160:M160"/>
    <mergeCell ref="E161:I161"/>
    <mergeCell ref="J161:M161"/>
    <mergeCell ref="E162:I162"/>
    <mergeCell ref="J162:M162"/>
    <mergeCell ref="A165:B165"/>
    <mergeCell ref="C165:D165"/>
    <mergeCell ref="A161:B161"/>
    <mergeCell ref="C161:D161"/>
    <mergeCell ref="A162:B162"/>
    <mergeCell ref="C162:D162"/>
    <mergeCell ref="A159:B159"/>
    <mergeCell ref="C159:D159"/>
    <mergeCell ref="A160:B160"/>
    <mergeCell ref="C160:D160"/>
    <mergeCell ref="E159:I159"/>
    <mergeCell ref="A158:B158"/>
    <mergeCell ref="C158:D158"/>
    <mergeCell ref="A155:B155"/>
    <mergeCell ref="C155:D155"/>
    <mergeCell ref="A156:B156"/>
    <mergeCell ref="C156:D156"/>
    <mergeCell ref="E155:I155"/>
    <mergeCell ref="J155:M155"/>
    <mergeCell ref="E156:I156"/>
    <mergeCell ref="J156:M156"/>
    <mergeCell ref="E157:I157"/>
    <mergeCell ref="J157:M157"/>
    <mergeCell ref="E158:I158"/>
    <mergeCell ref="J158:M158"/>
    <mergeCell ref="J151:M151"/>
    <mergeCell ref="E152:I152"/>
    <mergeCell ref="J152:M152"/>
    <mergeCell ref="E153:I153"/>
    <mergeCell ref="J153:M153"/>
    <mergeCell ref="E154:I154"/>
    <mergeCell ref="J154:M154"/>
    <mergeCell ref="A157:B157"/>
    <mergeCell ref="C157:D157"/>
    <mergeCell ref="A153:B153"/>
    <mergeCell ref="C153:D153"/>
    <mergeCell ref="A154:B154"/>
    <mergeCell ref="C154:D154"/>
    <mergeCell ref="A151:B151"/>
    <mergeCell ref="C151:D151"/>
    <mergeCell ref="A152:B152"/>
    <mergeCell ref="C152:D152"/>
    <mergeCell ref="E151:I151"/>
    <mergeCell ref="A150:B150"/>
    <mergeCell ref="C150:D150"/>
    <mergeCell ref="A147:B147"/>
    <mergeCell ref="C147:D147"/>
    <mergeCell ref="A148:B148"/>
    <mergeCell ref="C148:D148"/>
    <mergeCell ref="E147:I147"/>
    <mergeCell ref="J147:M147"/>
    <mergeCell ref="E148:I148"/>
    <mergeCell ref="J148:M148"/>
    <mergeCell ref="E149:I149"/>
    <mergeCell ref="J149:M149"/>
    <mergeCell ref="E150:I150"/>
    <mergeCell ref="J150:M150"/>
    <mergeCell ref="J143:M143"/>
    <mergeCell ref="E144:I144"/>
    <mergeCell ref="J144:M144"/>
    <mergeCell ref="E145:I145"/>
    <mergeCell ref="J145:M145"/>
    <mergeCell ref="E146:I146"/>
    <mergeCell ref="J146:M146"/>
    <mergeCell ref="A149:B149"/>
    <mergeCell ref="C149:D149"/>
    <mergeCell ref="A145:B145"/>
    <mergeCell ref="C145:D145"/>
    <mergeCell ref="A146:B146"/>
    <mergeCell ref="C146:D146"/>
    <mergeCell ref="A143:B143"/>
    <mergeCell ref="C143:D143"/>
    <mergeCell ref="A144:B144"/>
    <mergeCell ref="C144:D144"/>
    <mergeCell ref="E143:I143"/>
    <mergeCell ref="A142:B142"/>
    <mergeCell ref="C142:D142"/>
    <mergeCell ref="A139:B139"/>
    <mergeCell ref="C139:D139"/>
    <mergeCell ref="A140:B140"/>
    <mergeCell ref="C140:D140"/>
    <mergeCell ref="E139:I139"/>
    <mergeCell ref="J139:M139"/>
    <mergeCell ref="E140:I140"/>
    <mergeCell ref="J140:M140"/>
    <mergeCell ref="E141:I141"/>
    <mergeCell ref="J141:M141"/>
    <mergeCell ref="E142:I142"/>
    <mergeCell ref="J142:M142"/>
    <mergeCell ref="J135:M135"/>
    <mergeCell ref="E136:I136"/>
    <mergeCell ref="J136:M136"/>
    <mergeCell ref="E137:I137"/>
    <mergeCell ref="J137:M137"/>
    <mergeCell ref="E138:I138"/>
    <mergeCell ref="J138:M138"/>
    <mergeCell ref="A141:B141"/>
    <mergeCell ref="C141:D141"/>
    <mergeCell ref="A137:B137"/>
    <mergeCell ref="C137:D137"/>
    <mergeCell ref="A138:B138"/>
    <mergeCell ref="C138:D138"/>
    <mergeCell ref="A135:B135"/>
    <mergeCell ref="C135:D135"/>
    <mergeCell ref="A136:B136"/>
    <mergeCell ref="C136:D136"/>
    <mergeCell ref="E135:I135"/>
    <mergeCell ref="A134:B134"/>
    <mergeCell ref="C134:D134"/>
    <mergeCell ref="A131:B131"/>
    <mergeCell ref="C131:D131"/>
    <mergeCell ref="A132:B132"/>
    <mergeCell ref="C132:D132"/>
    <mergeCell ref="E131:I131"/>
    <mergeCell ref="J131:M131"/>
    <mergeCell ref="E132:I132"/>
    <mergeCell ref="J132:M132"/>
    <mergeCell ref="E133:I133"/>
    <mergeCell ref="J133:M133"/>
    <mergeCell ref="E134:I134"/>
    <mergeCell ref="J134:M134"/>
    <mergeCell ref="J127:M127"/>
    <mergeCell ref="E128:I128"/>
    <mergeCell ref="J128:M128"/>
    <mergeCell ref="E129:I129"/>
    <mergeCell ref="J129:M129"/>
    <mergeCell ref="E130:I130"/>
    <mergeCell ref="J130:M130"/>
    <mergeCell ref="A133:B133"/>
    <mergeCell ref="C133:D133"/>
    <mergeCell ref="A129:B129"/>
    <mergeCell ref="C129:D129"/>
    <mergeCell ref="A130:B130"/>
    <mergeCell ref="C130:D130"/>
    <mergeCell ref="A127:B127"/>
    <mergeCell ref="C127:D127"/>
    <mergeCell ref="A128:B128"/>
    <mergeCell ref="C128:D128"/>
    <mergeCell ref="E127:I127"/>
    <mergeCell ref="A126:B126"/>
    <mergeCell ref="C126:D126"/>
    <mergeCell ref="A123:B123"/>
    <mergeCell ref="C123:D123"/>
    <mergeCell ref="A124:B124"/>
    <mergeCell ref="C124:D124"/>
    <mergeCell ref="E123:I123"/>
    <mergeCell ref="J123:M123"/>
    <mergeCell ref="E124:I124"/>
    <mergeCell ref="J124:M124"/>
    <mergeCell ref="E125:I125"/>
    <mergeCell ref="J125:M125"/>
    <mergeCell ref="E126:I126"/>
    <mergeCell ref="J126:M126"/>
    <mergeCell ref="J119:M119"/>
    <mergeCell ref="E120:I120"/>
    <mergeCell ref="J120:M120"/>
    <mergeCell ref="E121:I121"/>
    <mergeCell ref="J121:M121"/>
    <mergeCell ref="E122:I122"/>
    <mergeCell ref="J122:M122"/>
    <mergeCell ref="A125:B125"/>
    <mergeCell ref="C125:D125"/>
    <mergeCell ref="A121:B121"/>
    <mergeCell ref="C121:D121"/>
    <mergeCell ref="A122:B122"/>
    <mergeCell ref="C122:D122"/>
    <mergeCell ref="A119:B119"/>
    <mergeCell ref="C119:D119"/>
    <mergeCell ref="A120:B120"/>
    <mergeCell ref="C120:D120"/>
    <mergeCell ref="E119:I119"/>
    <mergeCell ref="A118:B118"/>
    <mergeCell ref="C118:D118"/>
    <mergeCell ref="A115:B115"/>
    <mergeCell ref="C115:D115"/>
    <mergeCell ref="A116:B116"/>
    <mergeCell ref="C116:D116"/>
    <mergeCell ref="E115:I115"/>
    <mergeCell ref="J115:M115"/>
    <mergeCell ref="E116:I116"/>
    <mergeCell ref="J116:M116"/>
    <mergeCell ref="E117:I117"/>
    <mergeCell ref="J117:M117"/>
    <mergeCell ref="E118:I118"/>
    <mergeCell ref="J118:M118"/>
    <mergeCell ref="J111:M111"/>
    <mergeCell ref="E112:I112"/>
    <mergeCell ref="J112:M112"/>
    <mergeCell ref="E113:I113"/>
    <mergeCell ref="J113:M113"/>
    <mergeCell ref="E114:I114"/>
    <mergeCell ref="J114:M114"/>
    <mergeCell ref="A117:B117"/>
    <mergeCell ref="C117:D117"/>
    <mergeCell ref="A113:B113"/>
    <mergeCell ref="C113:D113"/>
    <mergeCell ref="A114:B114"/>
    <mergeCell ref="C114:D114"/>
    <mergeCell ref="A111:B111"/>
    <mergeCell ref="C111:D111"/>
    <mergeCell ref="A112:B112"/>
    <mergeCell ref="C112:D112"/>
    <mergeCell ref="E111:I111"/>
    <mergeCell ref="E107:I107"/>
    <mergeCell ref="J107:M107"/>
    <mergeCell ref="A109:B109"/>
    <mergeCell ref="C109:D109"/>
    <mergeCell ref="A110:B110"/>
    <mergeCell ref="C110:D110"/>
    <mergeCell ref="A107:B107"/>
    <mergeCell ref="C107:D107"/>
    <mergeCell ref="A108:B108"/>
    <mergeCell ref="C108:D108"/>
    <mergeCell ref="E108:I108"/>
    <mergeCell ref="J108:M108"/>
    <mergeCell ref="E109:I109"/>
    <mergeCell ref="J109:M109"/>
    <mergeCell ref="E110:I110"/>
    <mergeCell ref="J110:M110"/>
    <mergeCell ref="J98:M98"/>
    <mergeCell ref="E99:I99"/>
    <mergeCell ref="J99:M99"/>
    <mergeCell ref="E100:I100"/>
    <mergeCell ref="J100:M100"/>
    <mergeCell ref="E103:I103"/>
    <mergeCell ref="J103:M103"/>
    <mergeCell ref="A106:B106"/>
    <mergeCell ref="C106:D106"/>
    <mergeCell ref="A104:B104"/>
    <mergeCell ref="C104:D104"/>
    <mergeCell ref="A105:B105"/>
    <mergeCell ref="C105:D105"/>
    <mergeCell ref="E104:I104"/>
    <mergeCell ref="J104:M104"/>
    <mergeCell ref="E105:I105"/>
    <mergeCell ref="J105:M105"/>
    <mergeCell ref="E106:I106"/>
    <mergeCell ref="J106:M106"/>
    <mergeCell ref="J101:M101"/>
    <mergeCell ref="A100:B100"/>
    <mergeCell ref="C100:D100"/>
    <mergeCell ref="A103:B103"/>
    <mergeCell ref="C103:D103"/>
    <mergeCell ref="A98:B98"/>
    <mergeCell ref="C98:D98"/>
    <mergeCell ref="A99:B99"/>
    <mergeCell ref="C99:D99"/>
    <mergeCell ref="E98:I98"/>
    <mergeCell ref="A97:B97"/>
    <mergeCell ref="C97:D97"/>
    <mergeCell ref="A94:B94"/>
    <mergeCell ref="C94:D94"/>
    <mergeCell ref="A95:B95"/>
    <mergeCell ref="C95:D95"/>
    <mergeCell ref="E94:I94"/>
    <mergeCell ref="A96:B96"/>
    <mergeCell ref="C96:D96"/>
    <mergeCell ref="J94:M94"/>
    <mergeCell ref="E95:I95"/>
    <mergeCell ref="J95:M95"/>
    <mergeCell ref="E96:I96"/>
    <mergeCell ref="J96:M96"/>
    <mergeCell ref="E97:I97"/>
    <mergeCell ref="J97:M97"/>
    <mergeCell ref="J87:M87"/>
    <mergeCell ref="E92:I92"/>
    <mergeCell ref="J92:M92"/>
    <mergeCell ref="E89:I89"/>
    <mergeCell ref="J89:M89"/>
    <mergeCell ref="E93:I93"/>
    <mergeCell ref="J93:M93"/>
    <mergeCell ref="A89:B89"/>
    <mergeCell ref="C89:D89"/>
    <mergeCell ref="A93:B93"/>
    <mergeCell ref="C93:D93"/>
    <mergeCell ref="A87:B87"/>
    <mergeCell ref="C87:D87"/>
    <mergeCell ref="A92:B92"/>
    <mergeCell ref="C92:D92"/>
    <mergeCell ref="E87:I87"/>
    <mergeCell ref="A83:B83"/>
    <mergeCell ref="C83:D83"/>
    <mergeCell ref="E82:I82"/>
    <mergeCell ref="J82:M82"/>
    <mergeCell ref="E83:I83"/>
    <mergeCell ref="J83:M83"/>
    <mergeCell ref="J85:M85"/>
    <mergeCell ref="J86:M86"/>
    <mergeCell ref="A85:B85"/>
    <mergeCell ref="C85:D85"/>
    <mergeCell ref="A86:B86"/>
    <mergeCell ref="C86:D86"/>
    <mergeCell ref="A84:B84"/>
    <mergeCell ref="C84:D84"/>
    <mergeCell ref="E84:I84"/>
    <mergeCell ref="J84:M84"/>
    <mergeCell ref="E85:I85"/>
    <mergeCell ref="E86:I86"/>
    <mergeCell ref="J78:M78"/>
    <mergeCell ref="E79:I79"/>
    <mergeCell ref="J79:M79"/>
    <mergeCell ref="E80:I80"/>
    <mergeCell ref="J80:M80"/>
    <mergeCell ref="E81:I81"/>
    <mergeCell ref="J81:M81"/>
    <mergeCell ref="A82:B82"/>
    <mergeCell ref="C82:D82"/>
    <mergeCell ref="A80:B80"/>
    <mergeCell ref="C80:D80"/>
    <mergeCell ref="A81:B81"/>
    <mergeCell ref="C81:D81"/>
    <mergeCell ref="A78:B78"/>
    <mergeCell ref="C78:D78"/>
    <mergeCell ref="A79:B79"/>
    <mergeCell ref="C79:D79"/>
    <mergeCell ref="E78:I78"/>
    <mergeCell ref="J74:M74"/>
    <mergeCell ref="E75:I75"/>
    <mergeCell ref="J75:M75"/>
    <mergeCell ref="E76:I76"/>
    <mergeCell ref="J76:M76"/>
    <mergeCell ref="E77:I77"/>
    <mergeCell ref="J77:M77"/>
    <mergeCell ref="A72:B72"/>
    <mergeCell ref="C72:D72"/>
    <mergeCell ref="A73:B73"/>
    <mergeCell ref="C73:D73"/>
    <mergeCell ref="A76:B76"/>
    <mergeCell ref="C76:D76"/>
    <mergeCell ref="A77:B77"/>
    <mergeCell ref="C77:D77"/>
    <mergeCell ref="A74:B74"/>
    <mergeCell ref="C74:D74"/>
    <mergeCell ref="A75:B75"/>
    <mergeCell ref="C75:D75"/>
    <mergeCell ref="E74:I74"/>
    <mergeCell ref="E71:I71"/>
    <mergeCell ref="E72:I72"/>
    <mergeCell ref="A68:B68"/>
    <mergeCell ref="C68:D68"/>
    <mergeCell ref="A69:B69"/>
    <mergeCell ref="C69:D69"/>
    <mergeCell ref="E68:I68"/>
    <mergeCell ref="J72:M72"/>
    <mergeCell ref="E73:I73"/>
    <mergeCell ref="J73:M73"/>
    <mergeCell ref="J68:M68"/>
    <mergeCell ref="E69:I69"/>
    <mergeCell ref="J69:M69"/>
    <mergeCell ref="J71:M71"/>
    <mergeCell ref="J70:M70"/>
    <mergeCell ref="A70:B70"/>
    <mergeCell ref="C70:D70"/>
    <mergeCell ref="A71:B71"/>
    <mergeCell ref="C71:D71"/>
    <mergeCell ref="E70:I70"/>
    <mergeCell ref="A67:B67"/>
    <mergeCell ref="C67:D67"/>
    <mergeCell ref="A64:B64"/>
    <mergeCell ref="C64:D64"/>
    <mergeCell ref="A65:B65"/>
    <mergeCell ref="C65:D65"/>
    <mergeCell ref="E64:I64"/>
    <mergeCell ref="J64:M64"/>
    <mergeCell ref="E65:I65"/>
    <mergeCell ref="J65:M65"/>
    <mergeCell ref="E66:I66"/>
    <mergeCell ref="J66:M66"/>
    <mergeCell ref="E67:I67"/>
    <mergeCell ref="J67:M67"/>
    <mergeCell ref="J60:M60"/>
    <mergeCell ref="E61:I61"/>
    <mergeCell ref="J61:M61"/>
    <mergeCell ref="E62:I62"/>
    <mergeCell ref="J62:M62"/>
    <mergeCell ref="E63:I63"/>
    <mergeCell ref="J63:M63"/>
    <mergeCell ref="A66:B66"/>
    <mergeCell ref="C66:D66"/>
    <mergeCell ref="A62:B62"/>
    <mergeCell ref="C62:D62"/>
    <mergeCell ref="A63:B63"/>
    <mergeCell ref="C63:D63"/>
    <mergeCell ref="A60:B60"/>
    <mergeCell ref="C60:D60"/>
    <mergeCell ref="A61:B61"/>
    <mergeCell ref="C61:D61"/>
    <mergeCell ref="E60:I60"/>
    <mergeCell ref="A59:B59"/>
    <mergeCell ref="C59:D59"/>
    <mergeCell ref="A56:B56"/>
    <mergeCell ref="C56:D56"/>
    <mergeCell ref="A57:B57"/>
    <mergeCell ref="C57:D57"/>
    <mergeCell ref="E56:I56"/>
    <mergeCell ref="J56:M56"/>
    <mergeCell ref="E57:I57"/>
    <mergeCell ref="J57:M57"/>
    <mergeCell ref="E58:I58"/>
    <mergeCell ref="J58:M58"/>
    <mergeCell ref="E59:I59"/>
    <mergeCell ref="J59:M59"/>
    <mergeCell ref="J52:M52"/>
    <mergeCell ref="E53:I53"/>
    <mergeCell ref="J53:M53"/>
    <mergeCell ref="E54:I54"/>
    <mergeCell ref="J54:M54"/>
    <mergeCell ref="E55:I55"/>
    <mergeCell ref="J55:M55"/>
    <mergeCell ref="A58:B58"/>
    <mergeCell ref="C58:D58"/>
    <mergeCell ref="A54:B54"/>
    <mergeCell ref="C54:D54"/>
    <mergeCell ref="A55:B55"/>
    <mergeCell ref="C55:D55"/>
    <mergeCell ref="A52:B52"/>
    <mergeCell ref="C52:D52"/>
    <mergeCell ref="A53:B53"/>
    <mergeCell ref="C53:D53"/>
    <mergeCell ref="E52:I52"/>
    <mergeCell ref="A50:B50"/>
    <mergeCell ref="C50:D50"/>
    <mergeCell ref="A51:B51"/>
    <mergeCell ref="C51:D51"/>
    <mergeCell ref="A49:B49"/>
    <mergeCell ref="C49:D49"/>
    <mergeCell ref="E49:I49"/>
    <mergeCell ref="J49:M49"/>
    <mergeCell ref="E50:I50"/>
    <mergeCell ref="J50:M50"/>
    <mergeCell ref="E51:I51"/>
    <mergeCell ref="J51:M51"/>
    <mergeCell ref="A48:B48"/>
    <mergeCell ref="C48:D48"/>
    <mergeCell ref="A45:B45"/>
    <mergeCell ref="C45:D45"/>
    <mergeCell ref="A46:B46"/>
    <mergeCell ref="C46:D46"/>
    <mergeCell ref="E45:I45"/>
    <mergeCell ref="J45:M45"/>
    <mergeCell ref="E46:I46"/>
    <mergeCell ref="J46:M46"/>
    <mergeCell ref="E47:I47"/>
    <mergeCell ref="J47:M47"/>
    <mergeCell ref="E48:I48"/>
    <mergeCell ref="J48:M48"/>
    <mergeCell ref="J41:M41"/>
    <mergeCell ref="E42:I42"/>
    <mergeCell ref="J42:M42"/>
    <mergeCell ref="E43:I43"/>
    <mergeCell ref="J43:M43"/>
    <mergeCell ref="E44:I44"/>
    <mergeCell ref="J44:M44"/>
    <mergeCell ref="A47:B47"/>
    <mergeCell ref="C47:D47"/>
    <mergeCell ref="A43:B43"/>
    <mergeCell ref="C43:D43"/>
    <mergeCell ref="A44:B44"/>
    <mergeCell ref="C44:D44"/>
    <mergeCell ref="A41:B41"/>
    <mergeCell ref="C41:D41"/>
    <mergeCell ref="A42:B42"/>
    <mergeCell ref="C42:D42"/>
    <mergeCell ref="E41:I41"/>
    <mergeCell ref="A40:B40"/>
    <mergeCell ref="C40:D40"/>
    <mergeCell ref="A37:B37"/>
    <mergeCell ref="C37:D37"/>
    <mergeCell ref="A38:B38"/>
    <mergeCell ref="C38:D38"/>
    <mergeCell ref="E37:I37"/>
    <mergeCell ref="J37:M37"/>
    <mergeCell ref="E38:I38"/>
    <mergeCell ref="J38:M38"/>
    <mergeCell ref="E39:I39"/>
    <mergeCell ref="J39:M39"/>
    <mergeCell ref="E40:I40"/>
    <mergeCell ref="J40:M40"/>
    <mergeCell ref="J33:M33"/>
    <mergeCell ref="E34:I34"/>
    <mergeCell ref="J34:M34"/>
    <mergeCell ref="E35:I35"/>
    <mergeCell ref="J35:M35"/>
    <mergeCell ref="E36:I36"/>
    <mergeCell ref="J36:M36"/>
    <mergeCell ref="A39:B39"/>
    <mergeCell ref="C39:D39"/>
    <mergeCell ref="A35:B35"/>
    <mergeCell ref="C35:D35"/>
    <mergeCell ref="A36:B36"/>
    <mergeCell ref="C36:D36"/>
    <mergeCell ref="A33:B33"/>
    <mergeCell ref="C33:D33"/>
    <mergeCell ref="A34:B34"/>
    <mergeCell ref="C34:D34"/>
    <mergeCell ref="E33:I33"/>
    <mergeCell ref="A32:B32"/>
    <mergeCell ref="C32:D32"/>
    <mergeCell ref="A29:B29"/>
    <mergeCell ref="C29:D29"/>
    <mergeCell ref="A30:B30"/>
    <mergeCell ref="C30:D30"/>
    <mergeCell ref="E29:I29"/>
    <mergeCell ref="J29:M29"/>
    <mergeCell ref="E30:I30"/>
    <mergeCell ref="J30:M30"/>
    <mergeCell ref="E31:I31"/>
    <mergeCell ref="J31:M31"/>
    <mergeCell ref="E32:I32"/>
    <mergeCell ref="J32:M32"/>
    <mergeCell ref="J25:M25"/>
    <mergeCell ref="E26:I26"/>
    <mergeCell ref="J26:M26"/>
    <mergeCell ref="E27:I27"/>
    <mergeCell ref="J27:M27"/>
    <mergeCell ref="E28:I28"/>
    <mergeCell ref="J28:M28"/>
    <mergeCell ref="A31:B31"/>
    <mergeCell ref="C31:D31"/>
    <mergeCell ref="A27:B27"/>
    <mergeCell ref="C27:D27"/>
    <mergeCell ref="A28:B28"/>
    <mergeCell ref="C28:D28"/>
    <mergeCell ref="A25:B25"/>
    <mergeCell ref="C25:D25"/>
    <mergeCell ref="A26:B26"/>
    <mergeCell ref="C26:D26"/>
    <mergeCell ref="E25:I25"/>
    <mergeCell ref="A24:B24"/>
    <mergeCell ref="C24:D24"/>
    <mergeCell ref="A21:B21"/>
    <mergeCell ref="C21:D21"/>
    <mergeCell ref="E21:I21"/>
    <mergeCell ref="J21:M21"/>
    <mergeCell ref="E22:I22"/>
    <mergeCell ref="J22:M22"/>
    <mergeCell ref="E24:I24"/>
    <mergeCell ref="J24:M24"/>
    <mergeCell ref="A23:B23"/>
    <mergeCell ref="C23:D23"/>
    <mergeCell ref="J23:M23"/>
    <mergeCell ref="J17:M17"/>
    <mergeCell ref="E18:I18"/>
    <mergeCell ref="J18:M18"/>
    <mergeCell ref="E19:I19"/>
    <mergeCell ref="J19:M19"/>
    <mergeCell ref="E20:I20"/>
    <mergeCell ref="J20:M20"/>
    <mergeCell ref="A22:B22"/>
    <mergeCell ref="C22:D22"/>
    <mergeCell ref="A19:B19"/>
    <mergeCell ref="C19:D19"/>
    <mergeCell ref="A20:B20"/>
    <mergeCell ref="C20:D20"/>
    <mergeCell ref="A17:B17"/>
    <mergeCell ref="C17:D17"/>
    <mergeCell ref="A18:B18"/>
    <mergeCell ref="C18:D18"/>
    <mergeCell ref="E17:I17"/>
    <mergeCell ref="E10:I10"/>
    <mergeCell ref="J10:M10"/>
    <mergeCell ref="E11:I11"/>
    <mergeCell ref="J11:M11"/>
    <mergeCell ref="E12:I12"/>
    <mergeCell ref="J12:M12"/>
    <mergeCell ref="A15:B15"/>
    <mergeCell ref="C15:D15"/>
    <mergeCell ref="A16:B16"/>
    <mergeCell ref="C16:D16"/>
    <mergeCell ref="A13:B13"/>
    <mergeCell ref="C13:D13"/>
    <mergeCell ref="A14:B14"/>
    <mergeCell ref="C14:D14"/>
    <mergeCell ref="E13:I13"/>
    <mergeCell ref="J13:M13"/>
    <mergeCell ref="E14:I14"/>
    <mergeCell ref="J14:M14"/>
    <mergeCell ref="E15:I15"/>
    <mergeCell ref="J15:M15"/>
    <mergeCell ref="E16:I16"/>
    <mergeCell ref="J16:M16"/>
    <mergeCell ref="E223:I223"/>
    <mergeCell ref="J223:M223"/>
    <mergeCell ref="A7:B7"/>
    <mergeCell ref="C7:D7"/>
    <mergeCell ref="A8:B8"/>
    <mergeCell ref="C8:D8"/>
    <mergeCell ref="A1:C1"/>
    <mergeCell ref="G1:I1"/>
    <mergeCell ref="A2:C2"/>
    <mergeCell ref="G2:I2"/>
    <mergeCell ref="E7:I7"/>
    <mergeCell ref="J7:M7"/>
    <mergeCell ref="E8:I8"/>
    <mergeCell ref="J8:M8"/>
    <mergeCell ref="A11:B11"/>
    <mergeCell ref="C11:D11"/>
    <mergeCell ref="A12:B12"/>
    <mergeCell ref="C12:D12"/>
    <mergeCell ref="A9:B9"/>
    <mergeCell ref="C9:D9"/>
    <mergeCell ref="A10:B10"/>
    <mergeCell ref="C10:D10"/>
    <mergeCell ref="E9:I9"/>
    <mergeCell ref="J9:M9"/>
    <mergeCell ref="E224:I224"/>
    <mergeCell ref="J224:M224"/>
    <mergeCell ref="E225:I225"/>
    <mergeCell ref="J225:M225"/>
    <mergeCell ref="A88:B88"/>
    <mergeCell ref="C88:D88"/>
    <mergeCell ref="E88:I88"/>
    <mergeCell ref="J88:M88"/>
    <mergeCell ref="A90:B90"/>
    <mergeCell ref="C90:D90"/>
    <mergeCell ref="E90:I90"/>
    <mergeCell ref="J90:M90"/>
    <mergeCell ref="A91:B91"/>
    <mergeCell ref="C91:D91"/>
    <mergeCell ref="E91:I91"/>
    <mergeCell ref="J91:M91"/>
    <mergeCell ref="E219:I219"/>
    <mergeCell ref="J219:M219"/>
    <mergeCell ref="E220:I220"/>
    <mergeCell ref="J220:M220"/>
    <mergeCell ref="E221:I221"/>
    <mergeCell ref="J221:M221"/>
    <mergeCell ref="E222:I222"/>
    <mergeCell ref="J222:M222"/>
  </mergeCells>
  <pageMargins left="0.7" right="0.7" top="0.75" bottom="0.75" header="0.3" footer="0.3"/>
  <pageSetup orientation="portrait" horizontalDpi="300" r:id="rId1"/>
  <ignoredErrors>
    <ignoredError sqref="C76"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pageSetUpPr fitToPage="1"/>
  </sheetPr>
  <dimension ref="A1:J86"/>
  <sheetViews>
    <sheetView topLeftCell="A40" zoomScale="20" zoomScaleNormal="20" zoomScaleSheetLayoutView="25" workbookViewId="0">
      <selection activeCell="F98" sqref="F98"/>
    </sheetView>
  </sheetViews>
  <sheetFormatPr defaultColWidth="9.109375" defaultRowHeight="46.2"/>
  <cols>
    <col min="1" max="1" width="11.5546875" style="872" customWidth="1"/>
    <col min="2" max="2" width="13" style="873" bestFit="1" customWidth="1"/>
    <col min="3" max="3" width="108" style="874" customWidth="1"/>
    <col min="4" max="4" width="43.5546875" style="875" customWidth="1"/>
    <col min="5" max="5" width="51.33203125" style="876" customWidth="1"/>
    <col min="6" max="6" width="69.88671875" style="876" customWidth="1"/>
    <col min="7" max="7" width="194.33203125" style="874" customWidth="1"/>
    <col min="8" max="8" width="172.33203125" style="874" customWidth="1"/>
    <col min="9" max="9" width="71" style="874" customWidth="1"/>
    <col min="10" max="10" width="9.109375" style="877"/>
    <col min="11" max="16384" width="9.109375" style="649"/>
  </cols>
  <sheetData>
    <row r="1" spans="1:10" ht="46.8" thickBot="1"/>
    <row r="2" spans="1:10" ht="323.25" customHeight="1" thickBot="1">
      <c r="A2" s="878"/>
      <c r="B2" s="879" t="s">
        <v>1913</v>
      </c>
      <c r="C2" s="880" t="s">
        <v>1914</v>
      </c>
      <c r="D2" s="881" t="s">
        <v>1915</v>
      </c>
      <c r="E2" s="880" t="s">
        <v>1916</v>
      </c>
      <c r="F2" s="880" t="s">
        <v>27</v>
      </c>
      <c r="G2" s="880" t="s">
        <v>1917</v>
      </c>
      <c r="H2" s="880" t="s">
        <v>1918</v>
      </c>
      <c r="I2" s="882" t="s">
        <v>1919</v>
      </c>
      <c r="J2" s="878"/>
    </row>
    <row r="3" spans="1:10">
      <c r="A3" s="883"/>
      <c r="B3" s="884">
        <v>1</v>
      </c>
      <c r="C3" s="885"/>
      <c r="D3" s="886" t="s">
        <v>1920</v>
      </c>
      <c r="E3" s="887" t="s">
        <v>1921</v>
      </c>
      <c r="F3" s="887"/>
      <c r="G3" s="885" t="s">
        <v>1922</v>
      </c>
      <c r="H3" s="885" t="s">
        <v>1923</v>
      </c>
      <c r="I3" s="888"/>
    </row>
    <row r="4" spans="1:10">
      <c r="A4" s="883"/>
      <c r="B4" s="884">
        <v>2</v>
      </c>
      <c r="C4" s="889"/>
      <c r="D4" s="890" t="s">
        <v>1924</v>
      </c>
      <c r="E4" s="891" t="s">
        <v>459</v>
      </c>
      <c r="F4" s="891"/>
      <c r="G4" s="889" t="s">
        <v>1925</v>
      </c>
      <c r="H4" s="889" t="s">
        <v>1926</v>
      </c>
      <c r="I4" s="892"/>
    </row>
    <row r="5" spans="1:10">
      <c r="A5" s="883"/>
      <c r="B5" s="884">
        <v>3</v>
      </c>
      <c r="C5" s="893">
        <v>10</v>
      </c>
      <c r="D5" s="890" t="s">
        <v>1927</v>
      </c>
      <c r="E5" s="889"/>
      <c r="F5" s="889"/>
      <c r="G5" s="889" t="s">
        <v>1928</v>
      </c>
      <c r="H5" s="889" t="s">
        <v>1929</v>
      </c>
      <c r="I5" s="892"/>
    </row>
    <row r="6" spans="1:10">
      <c r="A6" s="883"/>
      <c r="B6" s="884">
        <v>4</v>
      </c>
      <c r="C6" s="893">
        <v>10</v>
      </c>
      <c r="D6" s="890" t="s">
        <v>1930</v>
      </c>
      <c r="E6" s="891"/>
      <c r="F6" s="891"/>
      <c r="G6" s="889" t="s">
        <v>1931</v>
      </c>
      <c r="H6" s="889" t="s">
        <v>1932</v>
      </c>
      <c r="I6" s="892"/>
    </row>
    <row r="7" spans="1:10">
      <c r="A7" s="883"/>
      <c r="B7" s="884">
        <v>5</v>
      </c>
      <c r="C7" s="893">
        <v>10</v>
      </c>
      <c r="D7" s="890" t="s">
        <v>1933</v>
      </c>
      <c r="E7" s="891"/>
      <c r="F7" s="891"/>
      <c r="G7" s="889" t="s">
        <v>1934</v>
      </c>
      <c r="H7" s="889" t="s">
        <v>1932</v>
      </c>
      <c r="I7" s="892"/>
    </row>
    <row r="8" spans="1:10">
      <c r="A8" s="883"/>
      <c r="B8" s="884">
        <v>6</v>
      </c>
      <c r="C8" s="893">
        <v>10</v>
      </c>
      <c r="D8" s="890" t="s">
        <v>1935</v>
      </c>
      <c r="E8" s="891"/>
      <c r="F8" s="891"/>
      <c r="G8" s="889" t="s">
        <v>1936</v>
      </c>
      <c r="H8" s="889" t="s">
        <v>1932</v>
      </c>
      <c r="I8" s="892"/>
    </row>
    <row r="9" spans="1:10">
      <c r="A9" s="883"/>
      <c r="B9" s="884">
        <v>7</v>
      </c>
      <c r="C9" s="889"/>
      <c r="D9" s="890" t="s">
        <v>1937</v>
      </c>
      <c r="E9" s="891" t="s">
        <v>1398</v>
      </c>
      <c r="F9" s="894" t="e">
        <f ca="1">_50PP1</f>
        <v>#DIV/0!</v>
      </c>
      <c r="G9" s="889" t="s">
        <v>1938</v>
      </c>
      <c r="H9" s="889" t="s">
        <v>1939</v>
      </c>
      <c r="I9" s="892"/>
    </row>
    <row r="10" spans="1:10">
      <c r="A10" s="883"/>
      <c r="B10" s="884">
        <v>8</v>
      </c>
      <c r="C10" s="889"/>
      <c r="D10" s="890" t="s">
        <v>1940</v>
      </c>
      <c r="E10" s="891" t="s">
        <v>1941</v>
      </c>
      <c r="F10" s="891" t="e">
        <f ca="1">_50P3P</f>
        <v>#DIV/0!</v>
      </c>
      <c r="G10" s="889" t="s">
        <v>1938</v>
      </c>
      <c r="H10" s="889" t="s">
        <v>1939</v>
      </c>
      <c r="I10" s="892"/>
    </row>
    <row r="11" spans="1:10">
      <c r="A11" s="883"/>
      <c r="B11" s="884">
        <v>9</v>
      </c>
      <c r="C11" s="893" t="s">
        <v>1942</v>
      </c>
      <c r="D11" s="890" t="s">
        <v>1943</v>
      </c>
      <c r="E11" s="891" t="s">
        <v>1778</v>
      </c>
      <c r="F11" s="891"/>
      <c r="G11" s="889" t="s">
        <v>1938</v>
      </c>
      <c r="H11" s="889" t="s">
        <v>1944</v>
      </c>
      <c r="I11" s="892"/>
    </row>
    <row r="12" spans="1:10">
      <c r="A12" s="883"/>
      <c r="B12" s="884">
        <v>10</v>
      </c>
      <c r="C12" s="893" t="s">
        <v>1945</v>
      </c>
      <c r="D12" s="890" t="s">
        <v>1946</v>
      </c>
      <c r="E12" s="891" t="s">
        <v>1947</v>
      </c>
      <c r="F12" s="891"/>
      <c r="G12" s="889" t="s">
        <v>1948</v>
      </c>
      <c r="H12" s="889" t="s">
        <v>1944</v>
      </c>
      <c r="I12" s="892"/>
    </row>
    <row r="13" spans="1:10" ht="92.4">
      <c r="A13" s="883"/>
      <c r="B13" s="884">
        <v>11</v>
      </c>
      <c r="C13" s="893" t="s">
        <v>1945</v>
      </c>
      <c r="D13" s="890" t="s">
        <v>1949</v>
      </c>
      <c r="E13" s="891" t="s">
        <v>1950</v>
      </c>
      <c r="F13" s="891" t="e">
        <f ca="1">_51S1P</f>
        <v>#DIV/0!</v>
      </c>
      <c r="G13" s="889" t="s">
        <v>1951</v>
      </c>
      <c r="H13" s="889" t="s">
        <v>1944</v>
      </c>
      <c r="I13" s="892"/>
    </row>
    <row r="14" spans="1:10">
      <c r="A14" s="883"/>
      <c r="B14" s="884">
        <v>12</v>
      </c>
      <c r="C14" s="893" t="s">
        <v>1952</v>
      </c>
      <c r="D14" s="890" t="s">
        <v>1953</v>
      </c>
      <c r="E14" s="891" t="s">
        <v>629</v>
      </c>
      <c r="F14" s="891" t="e">
        <f ca="1">_50G2P</f>
        <v>#DIV/0!</v>
      </c>
      <c r="G14" s="889" t="s">
        <v>1948</v>
      </c>
      <c r="H14" s="889" t="s">
        <v>1954</v>
      </c>
      <c r="I14" s="892"/>
    </row>
    <row r="15" spans="1:10">
      <c r="A15" s="883"/>
      <c r="B15" s="884">
        <v>13</v>
      </c>
      <c r="C15" s="893">
        <v>8.1999999999999993</v>
      </c>
      <c r="D15" s="890">
        <v>4.22</v>
      </c>
      <c r="E15" s="891" t="s">
        <v>637</v>
      </c>
      <c r="F15" s="891"/>
      <c r="G15" s="889" t="s">
        <v>1948</v>
      </c>
      <c r="H15" s="889" t="s">
        <v>1954</v>
      </c>
      <c r="I15" s="892"/>
    </row>
    <row r="16" spans="1:10">
      <c r="A16" s="883"/>
      <c r="B16" s="884">
        <v>14</v>
      </c>
      <c r="C16" s="893" t="s">
        <v>1955</v>
      </c>
      <c r="D16" s="890" t="s">
        <v>1956</v>
      </c>
      <c r="E16" s="891" t="s">
        <v>1334</v>
      </c>
      <c r="F16" s="891"/>
      <c r="G16" s="889" t="s">
        <v>1957</v>
      </c>
      <c r="H16" s="889" t="s">
        <v>1958</v>
      </c>
      <c r="I16" s="892"/>
    </row>
    <row r="17" spans="1:9">
      <c r="A17" s="883"/>
      <c r="B17" s="884">
        <v>15</v>
      </c>
      <c r="C17" s="893" t="s">
        <v>1955</v>
      </c>
      <c r="D17" s="890" t="s">
        <v>1959</v>
      </c>
      <c r="E17" s="891" t="s">
        <v>1340</v>
      </c>
      <c r="F17" s="891"/>
      <c r="G17" s="889" t="s">
        <v>1960</v>
      </c>
      <c r="H17" s="889" t="s">
        <v>1958</v>
      </c>
      <c r="I17" s="892"/>
    </row>
    <row r="18" spans="1:9" ht="92.4">
      <c r="A18" s="883"/>
      <c r="B18" s="884">
        <v>16</v>
      </c>
      <c r="C18" s="893" t="s">
        <v>1955</v>
      </c>
      <c r="D18" s="890" t="s">
        <v>1961</v>
      </c>
      <c r="E18" s="891" t="s">
        <v>1345</v>
      </c>
      <c r="F18" s="891"/>
      <c r="G18" s="889" t="s">
        <v>1962</v>
      </c>
      <c r="H18" s="889" t="s">
        <v>1958</v>
      </c>
      <c r="I18" s="892"/>
    </row>
    <row r="19" spans="1:9">
      <c r="A19" s="883"/>
      <c r="B19" s="884">
        <v>17</v>
      </c>
      <c r="C19" s="893" t="s">
        <v>1955</v>
      </c>
      <c r="D19" s="890">
        <v>9.15</v>
      </c>
      <c r="E19" s="891" t="s">
        <v>1963</v>
      </c>
      <c r="F19" s="891"/>
      <c r="G19" s="889" t="s">
        <v>1957</v>
      </c>
      <c r="H19" s="889" t="s">
        <v>1958</v>
      </c>
      <c r="I19" s="892"/>
    </row>
    <row r="20" spans="1:9">
      <c r="A20" s="883"/>
      <c r="B20" s="884">
        <v>18</v>
      </c>
      <c r="C20" s="893" t="s">
        <v>1955</v>
      </c>
      <c r="D20" s="890">
        <v>9.16</v>
      </c>
      <c r="E20" s="891" t="s">
        <v>1964</v>
      </c>
      <c r="F20" s="891"/>
      <c r="G20" s="889" t="s">
        <v>1965</v>
      </c>
      <c r="H20" s="889" t="s">
        <v>1958</v>
      </c>
      <c r="I20" s="892"/>
    </row>
    <row r="21" spans="1:9">
      <c r="A21" s="883"/>
      <c r="B21" s="884">
        <v>19</v>
      </c>
      <c r="C21" s="893" t="s">
        <v>1955</v>
      </c>
      <c r="D21" s="890" t="s">
        <v>1966</v>
      </c>
      <c r="E21" s="891" t="s">
        <v>1967</v>
      </c>
      <c r="F21" s="891"/>
      <c r="G21" s="889" t="s">
        <v>1968</v>
      </c>
      <c r="H21" s="889" t="s">
        <v>1958</v>
      </c>
      <c r="I21" s="892" t="s">
        <v>1969</v>
      </c>
    </row>
    <row r="22" spans="1:9">
      <c r="A22" s="883"/>
      <c r="B22" s="884">
        <v>20</v>
      </c>
      <c r="C22" s="893" t="s">
        <v>1955</v>
      </c>
      <c r="D22" s="890" t="s">
        <v>1970</v>
      </c>
      <c r="E22" s="891" t="s">
        <v>1971</v>
      </c>
      <c r="F22" s="891"/>
      <c r="G22" s="889" t="s">
        <v>1938</v>
      </c>
      <c r="H22" s="889" t="s">
        <v>1958</v>
      </c>
      <c r="I22" s="892"/>
    </row>
    <row r="23" spans="1:9">
      <c r="A23" s="883"/>
      <c r="B23" s="884">
        <v>21</v>
      </c>
      <c r="C23" s="893" t="s">
        <v>1955</v>
      </c>
      <c r="D23" s="890" t="s">
        <v>1972</v>
      </c>
      <c r="E23" s="891" t="s">
        <v>1371</v>
      </c>
      <c r="F23" s="891"/>
      <c r="G23" s="889" t="s">
        <v>1948</v>
      </c>
      <c r="H23" s="889" t="s">
        <v>1958</v>
      </c>
      <c r="I23" s="892"/>
    </row>
    <row r="24" spans="1:9" ht="92.4">
      <c r="A24" s="883"/>
      <c r="B24" s="884">
        <v>22</v>
      </c>
      <c r="C24" s="893" t="s">
        <v>1955</v>
      </c>
      <c r="D24" s="890" t="s">
        <v>1973</v>
      </c>
      <c r="E24" s="891" t="s">
        <v>1974</v>
      </c>
      <c r="F24" s="891"/>
      <c r="G24" s="889" t="s">
        <v>1975</v>
      </c>
      <c r="H24" s="889" t="s">
        <v>1958</v>
      </c>
      <c r="I24" s="892"/>
    </row>
    <row r="25" spans="1:9">
      <c r="A25" s="883"/>
      <c r="B25" s="884">
        <v>23</v>
      </c>
      <c r="C25" s="893" t="s">
        <v>1955</v>
      </c>
      <c r="D25" s="890" t="s">
        <v>1973</v>
      </c>
      <c r="E25" s="891" t="s">
        <v>1976</v>
      </c>
      <c r="F25" s="891"/>
      <c r="G25" s="889" t="s">
        <v>1975</v>
      </c>
      <c r="H25" s="889" t="s">
        <v>1958</v>
      </c>
      <c r="I25" s="892"/>
    </row>
    <row r="26" spans="1:9">
      <c r="A26" s="883"/>
      <c r="B26" s="884">
        <v>24</v>
      </c>
      <c r="C26" s="893"/>
      <c r="D26" s="890">
        <v>4.26</v>
      </c>
      <c r="E26" s="891" t="s">
        <v>1977</v>
      </c>
      <c r="F26" s="891"/>
      <c r="G26" s="889" t="s">
        <v>1957</v>
      </c>
      <c r="H26" s="889" t="s">
        <v>1978</v>
      </c>
      <c r="I26" s="892"/>
    </row>
    <row r="27" spans="1:9">
      <c r="A27" s="883"/>
      <c r="B27" s="884">
        <v>25</v>
      </c>
      <c r="C27" s="889" t="s">
        <v>1979</v>
      </c>
      <c r="D27" s="890">
        <v>6.4</v>
      </c>
      <c r="E27" s="891" t="s">
        <v>1100</v>
      </c>
      <c r="F27" s="891"/>
      <c r="G27" s="889" t="s">
        <v>1980</v>
      </c>
      <c r="H27" s="889" t="s">
        <v>1981</v>
      </c>
      <c r="I27" s="892"/>
    </row>
    <row r="28" spans="1:9">
      <c r="A28" s="883"/>
      <c r="B28" s="884">
        <v>26</v>
      </c>
      <c r="C28" s="889" t="s">
        <v>1982</v>
      </c>
      <c r="D28" s="890">
        <v>6.4</v>
      </c>
      <c r="E28" s="891" t="s">
        <v>1114</v>
      </c>
      <c r="F28" s="891"/>
      <c r="G28" s="889" t="s">
        <v>1983</v>
      </c>
      <c r="H28" s="889" t="s">
        <v>1981</v>
      </c>
      <c r="I28" s="892"/>
    </row>
    <row r="29" spans="1:9">
      <c r="A29" s="883"/>
      <c r="B29" s="884">
        <v>27</v>
      </c>
      <c r="C29" s="889" t="s">
        <v>1984</v>
      </c>
      <c r="D29" s="890">
        <v>6.14</v>
      </c>
      <c r="E29" s="891" t="s">
        <v>1103</v>
      </c>
      <c r="F29" s="891"/>
      <c r="G29" s="889" t="s">
        <v>1980</v>
      </c>
      <c r="H29" s="889" t="s">
        <v>1985</v>
      </c>
      <c r="I29" s="892"/>
    </row>
    <row r="30" spans="1:9">
      <c r="A30" s="883"/>
      <c r="B30" s="884">
        <v>28</v>
      </c>
      <c r="C30" s="889">
        <v>6.2</v>
      </c>
      <c r="D30" s="890">
        <v>6.14</v>
      </c>
      <c r="E30" s="891" t="s">
        <v>1116</v>
      </c>
      <c r="F30" s="891"/>
      <c r="G30" s="889" t="s">
        <v>1983</v>
      </c>
      <c r="H30" s="889" t="s">
        <v>1985</v>
      </c>
      <c r="I30" s="892"/>
    </row>
    <row r="31" spans="1:9">
      <c r="A31" s="883"/>
      <c r="B31" s="884">
        <v>29</v>
      </c>
      <c r="C31" s="893" t="s">
        <v>1986</v>
      </c>
      <c r="D31" s="890">
        <v>6.19</v>
      </c>
      <c r="E31" s="891" t="s">
        <v>1872</v>
      </c>
      <c r="F31" s="891"/>
      <c r="G31" s="889" t="s">
        <v>1987</v>
      </c>
      <c r="H31" s="889" t="s">
        <v>1988</v>
      </c>
      <c r="I31" s="892"/>
    </row>
    <row r="32" spans="1:9">
      <c r="A32" s="883"/>
      <c r="B32" s="884">
        <v>30</v>
      </c>
      <c r="C32" s="889">
        <v>8</v>
      </c>
      <c r="D32" s="890">
        <v>6.2</v>
      </c>
      <c r="E32" s="891" t="s">
        <v>1989</v>
      </c>
      <c r="F32" s="891"/>
      <c r="G32" s="889" t="s">
        <v>1990</v>
      </c>
      <c r="H32" s="889" t="s">
        <v>1988</v>
      </c>
      <c r="I32" s="892"/>
    </row>
    <row r="33" spans="1:9">
      <c r="A33" s="883"/>
      <c r="B33" s="884">
        <v>31</v>
      </c>
      <c r="C33" s="893" t="s">
        <v>1991</v>
      </c>
      <c r="D33" s="890">
        <v>6.23</v>
      </c>
      <c r="E33" s="891" t="s">
        <v>1992</v>
      </c>
      <c r="F33" s="891"/>
      <c r="G33" s="889" t="s">
        <v>1980</v>
      </c>
      <c r="H33" s="889" t="s">
        <v>1988</v>
      </c>
      <c r="I33" s="892"/>
    </row>
    <row r="34" spans="1:9">
      <c r="A34" s="883"/>
      <c r="B34" s="884">
        <v>32</v>
      </c>
      <c r="C34" s="893" t="s">
        <v>1991</v>
      </c>
      <c r="D34" s="890">
        <v>6.23</v>
      </c>
      <c r="E34" s="891" t="s">
        <v>1122</v>
      </c>
      <c r="F34" s="891"/>
      <c r="G34" s="889" t="s">
        <v>1983</v>
      </c>
      <c r="H34" s="889" t="s">
        <v>1988</v>
      </c>
      <c r="I34" s="892"/>
    </row>
    <row r="35" spans="1:9">
      <c r="A35" s="883"/>
      <c r="B35" s="884">
        <v>33</v>
      </c>
      <c r="C35" s="889"/>
      <c r="D35" s="890">
        <v>6.28</v>
      </c>
      <c r="E35" s="891" t="s">
        <v>1759</v>
      </c>
      <c r="F35" s="891"/>
      <c r="G35" s="889" t="s">
        <v>1993</v>
      </c>
      <c r="H35" s="889" t="s">
        <v>1994</v>
      </c>
      <c r="I35" s="892"/>
    </row>
    <row r="36" spans="1:9">
      <c r="A36" s="883"/>
      <c r="B36" s="884">
        <v>34</v>
      </c>
      <c r="C36" s="889"/>
      <c r="D36" s="890">
        <v>6.28</v>
      </c>
      <c r="E36" s="891" t="s">
        <v>1762</v>
      </c>
      <c r="F36" s="891"/>
      <c r="G36" s="889" t="s">
        <v>1995</v>
      </c>
      <c r="H36" s="889" t="s">
        <v>1994</v>
      </c>
      <c r="I36" s="892"/>
    </row>
    <row r="37" spans="1:9">
      <c r="A37" s="883"/>
      <c r="B37" s="884">
        <v>35</v>
      </c>
      <c r="C37" s="889">
        <v>6.3</v>
      </c>
      <c r="D37" s="890">
        <v>6.32</v>
      </c>
      <c r="E37" s="891" t="s">
        <v>1109</v>
      </c>
      <c r="F37" s="891"/>
      <c r="G37" s="889" t="s">
        <v>1980</v>
      </c>
      <c r="H37" s="889" t="s">
        <v>1994</v>
      </c>
      <c r="I37" s="892"/>
    </row>
    <row r="38" spans="1:9">
      <c r="A38" s="883"/>
      <c r="B38" s="884">
        <v>36</v>
      </c>
      <c r="C38" s="889">
        <v>6.3</v>
      </c>
      <c r="D38" s="890">
        <v>6.32</v>
      </c>
      <c r="E38" s="891" t="s">
        <v>1120</v>
      </c>
      <c r="F38" s="891"/>
      <c r="G38" s="889" t="s">
        <v>1983</v>
      </c>
      <c r="H38" s="889" t="s">
        <v>1994</v>
      </c>
      <c r="I38" s="892"/>
    </row>
    <row r="39" spans="1:9">
      <c r="A39" s="883"/>
      <c r="B39" s="884">
        <v>37</v>
      </c>
      <c r="C39" s="889">
        <v>6.4</v>
      </c>
      <c r="D39" s="890">
        <v>6.39</v>
      </c>
      <c r="E39" s="891" t="s">
        <v>1106</v>
      </c>
      <c r="F39" s="891"/>
      <c r="G39" s="889" t="s">
        <v>1980</v>
      </c>
      <c r="H39" s="889" t="s">
        <v>1996</v>
      </c>
      <c r="I39" s="892"/>
    </row>
    <row r="40" spans="1:9">
      <c r="A40" s="883"/>
      <c r="B40" s="884">
        <v>38</v>
      </c>
      <c r="C40" s="889">
        <v>6.4</v>
      </c>
      <c r="D40" s="890">
        <v>6.39</v>
      </c>
      <c r="E40" s="891" t="s">
        <v>1118</v>
      </c>
      <c r="F40" s="891"/>
      <c r="G40" s="889" t="s">
        <v>1983</v>
      </c>
      <c r="H40" s="889" t="s">
        <v>1996</v>
      </c>
      <c r="I40" s="892"/>
    </row>
    <row r="41" spans="1:9">
      <c r="A41" s="883"/>
      <c r="B41" s="884">
        <v>39</v>
      </c>
      <c r="C41" s="889">
        <v>10</v>
      </c>
      <c r="D41" s="890">
        <v>11.3</v>
      </c>
      <c r="E41" s="891" t="s">
        <v>1807</v>
      </c>
      <c r="F41" s="891"/>
      <c r="G41" s="889" t="s">
        <v>1997</v>
      </c>
      <c r="H41" s="889" t="s">
        <v>1998</v>
      </c>
      <c r="I41" s="892"/>
    </row>
    <row r="42" spans="1:9">
      <c r="A42" s="883"/>
      <c r="B42" s="884">
        <v>40</v>
      </c>
      <c r="C42" s="893">
        <v>9.3000000000000007</v>
      </c>
      <c r="D42" s="890"/>
      <c r="E42" s="891"/>
      <c r="F42" s="891"/>
      <c r="G42" s="889" t="s">
        <v>1938</v>
      </c>
      <c r="H42" s="889" t="s">
        <v>1998</v>
      </c>
      <c r="I42" s="892" t="s">
        <v>1969</v>
      </c>
    </row>
    <row r="43" spans="1:9">
      <c r="A43" s="883"/>
      <c r="B43" s="884">
        <v>41</v>
      </c>
      <c r="C43" s="893">
        <v>9.3000000000000007</v>
      </c>
      <c r="D43" s="890">
        <v>11.5</v>
      </c>
      <c r="E43" s="891" t="s">
        <v>1999</v>
      </c>
      <c r="F43" s="891"/>
      <c r="G43" s="889" t="s">
        <v>2000</v>
      </c>
      <c r="H43" s="889" t="s">
        <v>1998</v>
      </c>
      <c r="I43" s="892"/>
    </row>
    <row r="44" spans="1:9" ht="184.5" customHeight="1">
      <c r="A44" s="883"/>
      <c r="B44" s="884">
        <v>42</v>
      </c>
      <c r="C44" s="893">
        <v>9.3000000000000007</v>
      </c>
      <c r="D44" s="890">
        <v>9.24</v>
      </c>
      <c r="E44" s="891" t="s">
        <v>2001</v>
      </c>
      <c r="F44" s="891"/>
      <c r="G44" s="889" t="s">
        <v>1948</v>
      </c>
      <c r="H44" s="889" t="s">
        <v>1998</v>
      </c>
      <c r="I44" s="892" t="s">
        <v>2002</v>
      </c>
    </row>
    <row r="45" spans="1:9">
      <c r="A45" s="883"/>
      <c r="B45" s="884">
        <v>43</v>
      </c>
      <c r="C45" s="893">
        <v>9.1999999999999993</v>
      </c>
      <c r="D45" s="890">
        <v>11.6</v>
      </c>
      <c r="E45" s="891" t="s">
        <v>1810</v>
      </c>
      <c r="F45" s="891"/>
      <c r="G45" s="889" t="s">
        <v>2003</v>
      </c>
      <c r="H45" s="889" t="s">
        <v>1998</v>
      </c>
      <c r="I45" s="892" t="s">
        <v>2004</v>
      </c>
    </row>
    <row r="46" spans="1:9">
      <c r="A46" s="883"/>
      <c r="B46" s="884">
        <v>44</v>
      </c>
      <c r="C46" s="893">
        <v>9.1999999999999993</v>
      </c>
      <c r="D46" s="890">
        <v>11.6</v>
      </c>
      <c r="E46" s="891" t="s">
        <v>2005</v>
      </c>
      <c r="F46" s="891"/>
      <c r="G46" s="889" t="s">
        <v>2006</v>
      </c>
      <c r="H46" s="889" t="s">
        <v>1998</v>
      </c>
      <c r="I46" s="892" t="s">
        <v>2004</v>
      </c>
    </row>
    <row r="47" spans="1:9">
      <c r="A47" s="883"/>
      <c r="B47" s="884">
        <v>45</v>
      </c>
      <c r="C47" s="893">
        <v>9.1999999999999993</v>
      </c>
      <c r="D47" s="890">
        <v>11.6</v>
      </c>
      <c r="E47" s="891" t="s">
        <v>2007</v>
      </c>
      <c r="F47" s="891"/>
      <c r="G47" s="889" t="s">
        <v>2008</v>
      </c>
      <c r="H47" s="889" t="s">
        <v>1998</v>
      </c>
      <c r="I47" s="892" t="s">
        <v>2004</v>
      </c>
    </row>
    <row r="48" spans="1:9">
      <c r="A48" s="883"/>
      <c r="B48" s="884">
        <v>46</v>
      </c>
      <c r="C48" s="893">
        <v>9.3000000000000007</v>
      </c>
      <c r="D48" s="890">
        <v>11.3</v>
      </c>
      <c r="E48" s="891" t="s">
        <v>2009</v>
      </c>
      <c r="F48" s="891"/>
      <c r="G48" s="889"/>
      <c r="H48" s="889" t="s">
        <v>2010</v>
      </c>
      <c r="I48" s="892" t="s">
        <v>2004</v>
      </c>
    </row>
    <row r="49" spans="1:9">
      <c r="A49" s="883"/>
      <c r="B49" s="884">
        <v>47</v>
      </c>
      <c r="C49" s="893">
        <v>9.3000000000000007</v>
      </c>
      <c r="D49" s="890">
        <v>11.5</v>
      </c>
      <c r="E49" s="891" t="s">
        <v>2011</v>
      </c>
      <c r="F49" s="891"/>
      <c r="G49" s="889"/>
      <c r="H49" s="889" t="s">
        <v>2010</v>
      </c>
      <c r="I49" s="892" t="s">
        <v>2004</v>
      </c>
    </row>
    <row r="50" spans="1:9">
      <c r="A50" s="883"/>
      <c r="B50" s="884">
        <v>48</v>
      </c>
      <c r="C50" s="893">
        <v>9.3000000000000007</v>
      </c>
      <c r="D50" s="890">
        <v>11.6</v>
      </c>
      <c r="E50" s="891" t="s">
        <v>2012</v>
      </c>
      <c r="F50" s="891"/>
      <c r="G50" s="889"/>
      <c r="H50" s="889" t="s">
        <v>2010</v>
      </c>
      <c r="I50" s="892" t="s">
        <v>2004</v>
      </c>
    </row>
    <row r="51" spans="1:9">
      <c r="A51" s="883"/>
      <c r="B51" s="884">
        <v>49</v>
      </c>
      <c r="C51" s="893">
        <v>9.3000000000000007</v>
      </c>
      <c r="D51" s="890">
        <v>11.6</v>
      </c>
      <c r="E51" s="891" t="s">
        <v>2013</v>
      </c>
      <c r="F51" s="891"/>
      <c r="G51" s="889"/>
      <c r="H51" s="889" t="s">
        <v>2010</v>
      </c>
      <c r="I51" s="892" t="s">
        <v>2004</v>
      </c>
    </row>
    <row r="52" spans="1:9">
      <c r="A52" s="883"/>
      <c r="B52" s="884">
        <v>50</v>
      </c>
      <c r="C52" s="889"/>
      <c r="D52" s="890">
        <v>7.3</v>
      </c>
      <c r="E52" s="891" t="s">
        <v>1025</v>
      </c>
      <c r="F52" s="891"/>
      <c r="G52" s="889" t="s">
        <v>2014</v>
      </c>
      <c r="H52" s="889" t="s">
        <v>2015</v>
      </c>
      <c r="I52" s="892" t="s">
        <v>2016</v>
      </c>
    </row>
    <row r="53" spans="1:9">
      <c r="A53" s="883"/>
      <c r="B53" s="884">
        <v>51</v>
      </c>
      <c r="C53" s="889"/>
      <c r="D53" s="890">
        <v>7.3</v>
      </c>
      <c r="E53" s="891" t="s">
        <v>1027</v>
      </c>
      <c r="F53" s="891"/>
      <c r="G53" s="889" t="s">
        <v>2017</v>
      </c>
      <c r="H53" s="889" t="s">
        <v>2015</v>
      </c>
      <c r="I53" s="892" t="s">
        <v>2016</v>
      </c>
    </row>
    <row r="54" spans="1:9">
      <c r="A54" s="883"/>
      <c r="B54" s="884">
        <v>52</v>
      </c>
      <c r="C54" s="889"/>
      <c r="D54" s="890">
        <v>7.6</v>
      </c>
      <c r="E54" s="891" t="s">
        <v>1049</v>
      </c>
      <c r="F54" s="891"/>
      <c r="G54" s="889" t="s">
        <v>2018</v>
      </c>
      <c r="H54" s="889" t="s">
        <v>2019</v>
      </c>
      <c r="I54" s="892" t="s">
        <v>2016</v>
      </c>
    </row>
    <row r="55" spans="1:9">
      <c r="A55" s="883"/>
      <c r="B55" s="884">
        <v>53</v>
      </c>
      <c r="C55" s="889"/>
      <c r="D55" s="890">
        <v>7.6</v>
      </c>
      <c r="E55" s="891" t="s">
        <v>1050</v>
      </c>
      <c r="F55" s="891"/>
      <c r="G55" s="889" t="s">
        <v>2020</v>
      </c>
      <c r="H55" s="889" t="s">
        <v>2019</v>
      </c>
      <c r="I55" s="892" t="s">
        <v>2016</v>
      </c>
    </row>
    <row r="56" spans="1:9">
      <c r="A56" s="883"/>
      <c r="B56" s="884">
        <v>54</v>
      </c>
      <c r="C56" s="889"/>
      <c r="D56" s="895">
        <v>7.1</v>
      </c>
      <c r="E56" s="891" t="s">
        <v>1064</v>
      </c>
      <c r="F56" s="891"/>
      <c r="G56" s="889" t="s">
        <v>2021</v>
      </c>
      <c r="H56" s="889" t="s">
        <v>2022</v>
      </c>
      <c r="I56" s="892" t="s">
        <v>2016</v>
      </c>
    </row>
    <row r="57" spans="1:9">
      <c r="A57" s="883"/>
      <c r="B57" s="884">
        <v>55</v>
      </c>
      <c r="C57" s="889"/>
      <c r="D57" s="890">
        <v>7.1</v>
      </c>
      <c r="E57" s="891" t="s">
        <v>1066</v>
      </c>
      <c r="F57" s="891"/>
      <c r="G57" s="889" t="s">
        <v>2023</v>
      </c>
      <c r="H57" s="889" t="s">
        <v>2022</v>
      </c>
      <c r="I57" s="892" t="s">
        <v>2016</v>
      </c>
    </row>
    <row r="58" spans="1:9">
      <c r="A58" s="883"/>
      <c r="B58" s="884">
        <v>56</v>
      </c>
      <c r="C58" s="889"/>
      <c r="D58" s="890">
        <v>7.22</v>
      </c>
      <c r="E58" s="891" t="s">
        <v>1134</v>
      </c>
      <c r="F58" s="891"/>
      <c r="G58" s="889" t="s">
        <v>2024</v>
      </c>
      <c r="H58" s="889" t="s">
        <v>2025</v>
      </c>
      <c r="I58" s="892" t="s">
        <v>2016</v>
      </c>
    </row>
    <row r="59" spans="1:9">
      <c r="A59" s="883"/>
      <c r="B59" s="884">
        <v>57</v>
      </c>
      <c r="C59" s="889"/>
      <c r="D59" s="890">
        <v>7.23</v>
      </c>
      <c r="E59" s="891" t="s">
        <v>445</v>
      </c>
      <c r="F59" s="891"/>
      <c r="G59" s="889"/>
      <c r="H59" s="889" t="s">
        <v>2025</v>
      </c>
      <c r="I59" s="892" t="s">
        <v>2016</v>
      </c>
    </row>
    <row r="60" spans="1:9">
      <c r="A60" s="883"/>
      <c r="B60" s="884">
        <v>58</v>
      </c>
      <c r="C60" s="889"/>
      <c r="D60" s="890">
        <v>7.24</v>
      </c>
      <c r="E60" s="891" t="s">
        <v>447</v>
      </c>
      <c r="F60" s="891"/>
      <c r="G60" s="889"/>
      <c r="H60" s="889" t="s">
        <v>2025</v>
      </c>
      <c r="I60" s="892" t="s">
        <v>2016</v>
      </c>
    </row>
    <row r="61" spans="1:9">
      <c r="A61" s="883"/>
      <c r="B61" s="884">
        <v>59</v>
      </c>
      <c r="C61" s="889"/>
      <c r="D61" s="890">
        <v>7.25</v>
      </c>
      <c r="E61" s="891" t="s">
        <v>1144</v>
      </c>
      <c r="F61" s="891"/>
      <c r="G61" s="889"/>
      <c r="H61" s="889" t="s">
        <v>2025</v>
      </c>
      <c r="I61" s="892" t="s">
        <v>2016</v>
      </c>
    </row>
    <row r="62" spans="1:9">
      <c r="A62" s="883"/>
      <c r="B62" s="884">
        <v>60</v>
      </c>
      <c r="C62" s="889"/>
      <c r="D62" s="890">
        <v>7.26</v>
      </c>
      <c r="E62" s="891" t="s">
        <v>1147</v>
      </c>
      <c r="F62" s="891"/>
      <c r="G62" s="889"/>
      <c r="H62" s="889" t="s">
        <v>2025</v>
      </c>
      <c r="I62" s="892" t="s">
        <v>2016</v>
      </c>
    </row>
    <row r="63" spans="1:9">
      <c r="A63" s="883"/>
      <c r="B63" s="884">
        <v>61</v>
      </c>
      <c r="C63" s="889"/>
      <c r="D63" s="890">
        <v>7.27</v>
      </c>
      <c r="E63" s="891" t="s">
        <v>1151</v>
      </c>
      <c r="F63" s="891"/>
      <c r="G63" s="889"/>
      <c r="H63" s="889" t="s">
        <v>2025</v>
      </c>
      <c r="I63" s="892" t="s">
        <v>2016</v>
      </c>
    </row>
    <row r="64" spans="1:9">
      <c r="A64" s="883"/>
      <c r="B64" s="884">
        <v>62</v>
      </c>
      <c r="C64" s="889"/>
      <c r="D64" s="890">
        <v>7.23</v>
      </c>
      <c r="E64" s="891" t="s">
        <v>1140</v>
      </c>
      <c r="F64" s="891"/>
      <c r="G64" s="889" t="s">
        <v>2026</v>
      </c>
      <c r="H64" s="889" t="s">
        <v>2025</v>
      </c>
      <c r="I64" s="892" t="s">
        <v>2016</v>
      </c>
    </row>
    <row r="65" spans="1:9">
      <c r="A65" s="883"/>
      <c r="B65" s="884">
        <v>63</v>
      </c>
      <c r="C65" s="889"/>
      <c r="D65" s="890">
        <v>7.24</v>
      </c>
      <c r="E65" s="891" t="s">
        <v>1142</v>
      </c>
      <c r="F65" s="891"/>
      <c r="G65" s="889" t="s">
        <v>2027</v>
      </c>
      <c r="H65" s="889" t="s">
        <v>2025</v>
      </c>
      <c r="I65" s="892" t="s">
        <v>2016</v>
      </c>
    </row>
    <row r="66" spans="1:9">
      <c r="A66" s="883"/>
      <c r="B66" s="884">
        <v>64</v>
      </c>
      <c r="C66" s="889"/>
      <c r="D66" s="890">
        <v>7.25</v>
      </c>
      <c r="E66" s="891" t="s">
        <v>1145</v>
      </c>
      <c r="F66" s="891"/>
      <c r="G66" s="889" t="s">
        <v>2028</v>
      </c>
      <c r="H66" s="889" t="s">
        <v>2025</v>
      </c>
      <c r="I66" s="892" t="s">
        <v>2016</v>
      </c>
    </row>
    <row r="67" spans="1:9">
      <c r="A67" s="883"/>
      <c r="B67" s="884">
        <v>65</v>
      </c>
      <c r="C67" s="889"/>
      <c r="D67" s="890">
        <v>7.26</v>
      </c>
      <c r="E67" s="891" t="s">
        <v>1148</v>
      </c>
      <c r="F67" s="891"/>
      <c r="G67" s="889" t="s">
        <v>2029</v>
      </c>
      <c r="H67" s="889" t="s">
        <v>2025</v>
      </c>
      <c r="I67" s="892" t="s">
        <v>2016</v>
      </c>
    </row>
    <row r="68" spans="1:9">
      <c r="A68" s="883"/>
      <c r="B68" s="884">
        <v>66</v>
      </c>
      <c r="C68" s="889"/>
      <c r="D68" s="890">
        <v>7.27</v>
      </c>
      <c r="E68" s="891" t="s">
        <v>1742</v>
      </c>
      <c r="F68" s="891"/>
      <c r="G68" s="889" t="s">
        <v>2030</v>
      </c>
      <c r="H68" s="889" t="s">
        <v>2025</v>
      </c>
      <c r="I68" s="892" t="s">
        <v>2016</v>
      </c>
    </row>
    <row r="69" spans="1:9" ht="134.25" customHeight="1">
      <c r="A69" s="883"/>
      <c r="B69" s="884">
        <v>67</v>
      </c>
      <c r="C69" s="889"/>
      <c r="D69" s="890">
        <v>7.32</v>
      </c>
      <c r="E69" s="891" t="s">
        <v>2031</v>
      </c>
      <c r="F69" s="891"/>
      <c r="G69" s="889"/>
      <c r="H69" s="889" t="s">
        <v>2032</v>
      </c>
      <c r="I69" s="892" t="s">
        <v>1154</v>
      </c>
    </row>
    <row r="70" spans="1:9" ht="92.4">
      <c r="A70" s="883"/>
      <c r="B70" s="884">
        <v>68</v>
      </c>
      <c r="C70" s="889"/>
      <c r="D70" s="890">
        <v>12.1</v>
      </c>
      <c r="E70" s="891" t="s">
        <v>1670</v>
      </c>
      <c r="F70" s="891"/>
      <c r="G70" s="889" t="s">
        <v>2033</v>
      </c>
      <c r="H70" s="889" t="s">
        <v>2034</v>
      </c>
      <c r="I70" s="892"/>
    </row>
    <row r="71" spans="1:9" ht="92.4">
      <c r="A71" s="883"/>
      <c r="B71" s="884">
        <v>69</v>
      </c>
      <c r="C71" s="889"/>
      <c r="D71" s="890">
        <v>12.2</v>
      </c>
      <c r="E71" s="891" t="s">
        <v>1676</v>
      </c>
      <c r="F71" s="891"/>
      <c r="G71" s="889" t="s">
        <v>2035</v>
      </c>
      <c r="H71" s="889" t="s">
        <v>2034</v>
      </c>
      <c r="I71" s="892"/>
    </row>
    <row r="72" spans="1:9">
      <c r="A72" s="883"/>
      <c r="B72" s="884">
        <v>70</v>
      </c>
      <c r="C72" s="889"/>
      <c r="D72" s="890">
        <v>12.3</v>
      </c>
      <c r="E72" s="891" t="s">
        <v>1841</v>
      </c>
      <c r="F72" s="891"/>
      <c r="G72" s="889" t="s">
        <v>2036</v>
      </c>
      <c r="H72" s="889" t="s">
        <v>2037</v>
      </c>
      <c r="I72" s="892"/>
    </row>
    <row r="73" spans="1:9">
      <c r="A73" s="883"/>
      <c r="B73" s="884">
        <v>71</v>
      </c>
      <c r="C73" s="889"/>
      <c r="D73" s="890">
        <v>12.4</v>
      </c>
      <c r="E73" s="891" t="s">
        <v>1835</v>
      </c>
      <c r="F73" s="891"/>
      <c r="G73" s="889" t="s">
        <v>2038</v>
      </c>
      <c r="H73" s="889" t="s">
        <v>2037</v>
      </c>
      <c r="I73" s="892"/>
    </row>
    <row r="74" spans="1:9">
      <c r="A74" s="883"/>
      <c r="B74" s="884">
        <v>72</v>
      </c>
      <c r="C74" s="889"/>
      <c r="D74" s="890">
        <v>12.5</v>
      </c>
      <c r="E74" s="891" t="s">
        <v>1832</v>
      </c>
      <c r="F74" s="891"/>
      <c r="G74" s="889" t="s">
        <v>2039</v>
      </c>
      <c r="H74" s="889" t="s">
        <v>2037</v>
      </c>
      <c r="I74" s="892"/>
    </row>
    <row r="75" spans="1:9">
      <c r="A75" s="883"/>
      <c r="B75" s="884">
        <v>73</v>
      </c>
      <c r="C75" s="889"/>
      <c r="D75" s="890">
        <v>12.6</v>
      </c>
      <c r="E75" s="891" t="s">
        <v>1829</v>
      </c>
      <c r="F75" s="891"/>
      <c r="G75" s="889" t="s">
        <v>2040</v>
      </c>
      <c r="H75" s="889" t="s">
        <v>2037</v>
      </c>
      <c r="I75" s="892"/>
    </row>
    <row r="76" spans="1:9">
      <c r="A76" s="883"/>
      <c r="B76" s="884">
        <v>74</v>
      </c>
      <c r="C76" s="889"/>
      <c r="D76" s="890">
        <v>12.7</v>
      </c>
      <c r="E76" s="891" t="s">
        <v>1854</v>
      </c>
      <c r="F76" s="891"/>
      <c r="G76" s="889" t="s">
        <v>2041</v>
      </c>
      <c r="H76" s="889" t="s">
        <v>2037</v>
      </c>
      <c r="I76" s="892"/>
    </row>
    <row r="77" spans="1:9">
      <c r="A77" s="883"/>
      <c r="B77" s="884">
        <v>75</v>
      </c>
      <c r="C77" s="889"/>
      <c r="D77" s="890">
        <v>12.8</v>
      </c>
      <c r="E77" s="891" t="s">
        <v>1857</v>
      </c>
      <c r="F77" s="891"/>
      <c r="G77" s="889" t="s">
        <v>2042</v>
      </c>
      <c r="H77" s="889" t="s">
        <v>2037</v>
      </c>
      <c r="I77" s="892"/>
    </row>
    <row r="78" spans="1:9">
      <c r="A78" s="883"/>
      <c r="B78" s="884">
        <v>76</v>
      </c>
      <c r="C78" s="889"/>
      <c r="D78" s="890">
        <v>12.9</v>
      </c>
      <c r="E78" s="891" t="s">
        <v>1860</v>
      </c>
      <c r="F78" s="891"/>
      <c r="G78" s="889" t="s">
        <v>2043</v>
      </c>
      <c r="H78" s="889" t="s">
        <v>2037</v>
      </c>
      <c r="I78" s="892"/>
    </row>
    <row r="79" spans="1:9">
      <c r="A79" s="883"/>
      <c r="B79" s="884">
        <v>77</v>
      </c>
      <c r="C79" s="889"/>
      <c r="D79" s="895">
        <v>12.1</v>
      </c>
      <c r="E79" s="891" t="s">
        <v>1863</v>
      </c>
      <c r="F79" s="891"/>
      <c r="G79" s="889" t="s">
        <v>2044</v>
      </c>
      <c r="H79" s="889" t="s">
        <v>2037</v>
      </c>
      <c r="I79" s="892"/>
    </row>
    <row r="80" spans="1:9">
      <c r="A80" s="883"/>
      <c r="B80" s="884">
        <v>78</v>
      </c>
      <c r="C80" s="889"/>
      <c r="D80" s="890">
        <v>10.9</v>
      </c>
      <c r="E80" s="891" t="s">
        <v>1775</v>
      </c>
      <c r="F80" s="891"/>
      <c r="G80" s="889" t="s">
        <v>2045</v>
      </c>
      <c r="H80" s="889" t="s">
        <v>1939</v>
      </c>
      <c r="I80" s="892"/>
    </row>
    <row r="81" spans="1:9">
      <c r="A81" s="883"/>
      <c r="B81" s="884">
        <v>79</v>
      </c>
      <c r="C81" s="889"/>
      <c r="D81" s="890"/>
      <c r="E81" s="891"/>
      <c r="F81" s="891"/>
      <c r="G81" s="889"/>
      <c r="H81" s="889"/>
      <c r="I81" s="892"/>
    </row>
    <row r="82" spans="1:9">
      <c r="A82" s="883"/>
      <c r="B82" s="884">
        <v>80</v>
      </c>
      <c r="C82" s="889"/>
      <c r="D82" s="890"/>
      <c r="E82" s="891"/>
      <c r="F82" s="891"/>
      <c r="G82" s="889"/>
      <c r="H82" s="889"/>
      <c r="I82" s="892"/>
    </row>
    <row r="83" spans="1:9">
      <c r="A83" s="883"/>
      <c r="B83" s="884">
        <v>81</v>
      </c>
      <c r="C83" s="889"/>
      <c r="D83" s="890"/>
      <c r="E83" s="891"/>
      <c r="F83" s="891"/>
      <c r="G83" s="889"/>
      <c r="H83" s="889"/>
      <c r="I83" s="892"/>
    </row>
    <row r="84" spans="1:9">
      <c r="A84" s="883"/>
      <c r="B84" s="884">
        <v>82</v>
      </c>
      <c r="C84" s="889"/>
      <c r="D84" s="890"/>
      <c r="E84" s="891"/>
      <c r="F84" s="891"/>
      <c r="G84" s="889"/>
      <c r="H84" s="889"/>
      <c r="I84" s="892"/>
    </row>
    <row r="85" spans="1:9">
      <c r="A85" s="883"/>
      <c r="B85" s="884">
        <v>83</v>
      </c>
      <c r="C85" s="889"/>
      <c r="D85" s="890"/>
      <c r="E85" s="891"/>
      <c r="F85" s="891"/>
      <c r="G85" s="889"/>
      <c r="H85" s="889"/>
      <c r="I85" s="892"/>
    </row>
    <row r="86" spans="1:9">
      <c r="A86" s="883"/>
      <c r="B86" s="884">
        <v>84</v>
      </c>
      <c r="C86" s="889"/>
      <c r="D86" s="890"/>
      <c r="E86" s="891"/>
      <c r="F86" s="891"/>
      <c r="G86" s="889"/>
      <c r="H86" s="889"/>
      <c r="I86" s="892"/>
    </row>
  </sheetData>
  <sheetProtection algorithmName="SHA-512" hashValue="iyrkHP2s4pP5XxmuXOE9Ld3E8Io2Xx72+MMkKPOKN3sAFvXdOzsZ13/xQh1iRs64TH1NDc61dQ6uPSalk93GHQ==" saltValue="iKtEScqobak13r0a+A/vig==" spinCount="100000" sheet="1" objects="1" scenarios="1"/>
  <pageMargins left="0.7" right="0.7" top="0.75" bottom="0.75" header="0.3" footer="0.3"/>
  <pageSetup paperSize="17" scale="16" fitToHeight="3" orientation="landscape" r:id="rId1"/>
  <rowBreaks count="1" manualBreakCount="1">
    <brk id="25" max="9" man="1"/>
  </rowBreak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O115"/>
  <sheetViews>
    <sheetView showGridLines="0" zoomScaleNormal="100" workbookViewId="0">
      <selection activeCell="E7" sqref="E7"/>
    </sheetView>
  </sheetViews>
  <sheetFormatPr defaultColWidth="9.109375" defaultRowHeight="13.2"/>
  <cols>
    <col min="1" max="1" width="22.33203125" customWidth="1"/>
    <col min="2" max="2" width="8.44140625" customWidth="1"/>
    <col min="3" max="3" width="17.5546875" customWidth="1"/>
    <col min="4" max="4" width="25.88671875" customWidth="1"/>
    <col min="15" max="15" width="9.109375" hidden="1" customWidth="1"/>
  </cols>
  <sheetData>
    <row r="1" spans="1:15">
      <c r="A1" s="1505">
        <f>'1) Data Entry'!Relay_Location</f>
        <v>0</v>
      </c>
      <c r="B1" s="1459"/>
      <c r="C1" s="1460"/>
      <c r="D1" s="364"/>
      <c r="E1" s="1217">
        <f>'1) Data Entry'!K3</f>
        <v>0</v>
      </c>
      <c r="G1" s="1505">
        <f>'1) Data Entry'!Remote_Location</f>
        <v>0</v>
      </c>
      <c r="H1" s="1459"/>
      <c r="I1" s="1460"/>
      <c r="L1" s="587" t="s">
        <v>3</v>
      </c>
      <c r="M1" s="1218">
        <f>'1) Data Entry'!M1</f>
        <v>0</v>
      </c>
      <c r="N1" s="21"/>
      <c r="O1" s="670" t="s">
        <v>2046</v>
      </c>
    </row>
    <row r="2" spans="1:15">
      <c r="A2" s="2200" t="s">
        <v>4</v>
      </c>
      <c r="B2" s="2200"/>
      <c r="C2" s="2200"/>
      <c r="D2" s="28"/>
      <c r="E2" s="579" t="s">
        <v>5</v>
      </c>
      <c r="F2" s="26"/>
      <c r="G2" s="2200" t="s">
        <v>6</v>
      </c>
      <c r="H2" s="2200"/>
      <c r="I2" s="2200"/>
      <c r="J2" s="1123"/>
      <c r="K2" s="26"/>
      <c r="L2" s="587" t="s">
        <v>7</v>
      </c>
      <c r="M2" s="1219">
        <f>'1) Data Entry'!Calc_By</f>
        <v>0</v>
      </c>
      <c r="N2" s="30"/>
    </row>
    <row r="3" spans="1:15">
      <c r="A3" s="896"/>
      <c r="B3" s="25"/>
      <c r="C3" s="28"/>
      <c r="D3" s="28"/>
      <c r="E3" s="26"/>
      <c r="F3" s="26"/>
      <c r="G3" s="25"/>
      <c r="H3" s="28"/>
      <c r="I3" s="28"/>
      <c r="J3" s="1123"/>
      <c r="K3" s="26"/>
      <c r="L3" s="587" t="s">
        <v>8</v>
      </c>
      <c r="M3" s="1219">
        <f>'1) Data Entry'!Checked_By</f>
        <v>0</v>
      </c>
      <c r="N3" s="30"/>
    </row>
    <row r="4" spans="1:15" ht="12.75" customHeight="1">
      <c r="A4" s="2218" t="s">
        <v>2047</v>
      </c>
      <c r="B4" s="2218"/>
      <c r="C4" s="2218"/>
      <c r="D4" s="2218"/>
      <c r="E4" s="2218"/>
      <c r="F4" s="2218"/>
      <c r="G4" s="2218"/>
      <c r="H4" s="2218"/>
      <c r="I4" s="2218"/>
      <c r="J4" s="2218"/>
      <c r="K4" s="2218"/>
      <c r="L4" s="2218"/>
      <c r="M4" s="2218"/>
      <c r="N4" s="30"/>
    </row>
    <row r="5" spans="1:15">
      <c r="A5" s="2218"/>
      <c r="B5" s="2218"/>
      <c r="C5" s="2218"/>
      <c r="D5" s="2218"/>
      <c r="E5" s="2218"/>
      <c r="F5" s="2218"/>
      <c r="G5" s="2218"/>
      <c r="H5" s="2218"/>
      <c r="I5" s="2218"/>
      <c r="J5" s="2218"/>
      <c r="K5" s="2218"/>
      <c r="L5" s="2218"/>
      <c r="M5" s="2218"/>
      <c r="N5" s="30"/>
    </row>
    <row r="6" spans="1:15" ht="39.75" customHeight="1" thickBot="1">
      <c r="A6" s="2219"/>
      <c r="B6" s="2219"/>
      <c r="C6" s="2219"/>
      <c r="D6" s="2219"/>
      <c r="E6" s="2218"/>
      <c r="F6" s="2218"/>
      <c r="G6" s="2218"/>
      <c r="H6" s="2218"/>
      <c r="I6" s="2218"/>
      <c r="J6" s="2218"/>
      <c r="K6" s="2218"/>
      <c r="L6" s="2218"/>
      <c r="M6" s="2218"/>
      <c r="N6" s="30"/>
    </row>
    <row r="7" spans="1:15" ht="28.5" customHeight="1" thickBot="1">
      <c r="A7" s="2228" t="s">
        <v>2048</v>
      </c>
      <c r="B7" s="2229"/>
      <c r="C7" s="2230" t="s">
        <v>2049</v>
      </c>
      <c r="D7" s="2231"/>
      <c r="E7" s="1416"/>
      <c r="F7" s="1416"/>
      <c r="G7" s="1416"/>
      <c r="H7" s="1416"/>
      <c r="I7" s="1416"/>
      <c r="J7" s="1416"/>
      <c r="K7" s="1416"/>
      <c r="L7" s="1416"/>
      <c r="M7" s="1416"/>
      <c r="N7" s="30"/>
    </row>
    <row r="8" spans="1:15" ht="18.75" customHeight="1" thickBot="1">
      <c r="A8" s="944"/>
      <c r="B8" s="944"/>
      <c r="C8" s="1412"/>
      <c r="D8" s="1412"/>
      <c r="E8" s="1412"/>
      <c r="F8" s="1412"/>
      <c r="G8" s="1412"/>
      <c r="H8" s="1412"/>
      <c r="I8" s="1412"/>
      <c r="J8" s="1412"/>
      <c r="K8" s="1412"/>
      <c r="L8" s="1412"/>
      <c r="M8" s="1412"/>
      <c r="N8" s="30"/>
    </row>
    <row r="9" spans="1:15" ht="13.8" thickBot="1">
      <c r="A9" s="2193" t="s">
        <v>1655</v>
      </c>
      <c r="B9" s="2194"/>
      <c r="C9" s="2195" t="s">
        <v>1656</v>
      </c>
      <c r="D9" s="2195"/>
      <c r="E9" s="2201" t="s">
        <v>1657</v>
      </c>
      <c r="F9" s="2202"/>
      <c r="G9" s="2202"/>
      <c r="H9" s="2202"/>
      <c r="I9" s="2203"/>
      <c r="J9" s="2195" t="s">
        <v>1658</v>
      </c>
      <c r="K9" s="2195"/>
      <c r="L9" s="2195"/>
      <c r="M9" s="2194"/>
    </row>
    <row r="10" spans="1:15">
      <c r="A10" s="2196" t="s">
        <v>1659</v>
      </c>
      <c r="B10" s="2197"/>
      <c r="C10" s="2234" t="str">
        <f>MID('1) Data Entry'!G3&amp;","&amp;'1) Data Entry'!E16&amp;","&amp;'1) Data Entry'!M3&amp;","&amp;'1) Data Entry'!K3,1,39)</f>
        <v>,,,</v>
      </c>
      <c r="D10" s="2235"/>
      <c r="E10" s="2204" t="s">
        <v>1660</v>
      </c>
      <c r="F10" s="2205"/>
      <c r="G10" s="2205"/>
      <c r="H10" s="2205"/>
      <c r="I10" s="2206"/>
      <c r="J10" s="2207"/>
      <c r="K10" s="2207"/>
      <c r="L10" s="2207"/>
      <c r="M10" s="2197"/>
    </row>
    <row r="11" spans="1:15" hidden="1">
      <c r="A11" s="2191" t="s">
        <v>2050</v>
      </c>
      <c r="B11" s="2187"/>
      <c r="C11" s="2232">
        <f>'11) BF Fault Det'!M4</f>
        <v>47115</v>
      </c>
      <c r="D11" s="2233"/>
      <c r="E11" s="940" t="s">
        <v>2051</v>
      </c>
      <c r="F11" s="941"/>
      <c r="G11" s="941"/>
      <c r="H11" s="941"/>
      <c r="I11" s="942"/>
      <c r="J11" s="943"/>
      <c r="K11" s="943"/>
      <c r="L11" s="943"/>
      <c r="M11" s="939"/>
    </row>
    <row r="12" spans="1:15" hidden="1">
      <c r="A12" s="2191" t="s">
        <v>2052</v>
      </c>
      <c r="B12" s="2187"/>
      <c r="C12" s="2232">
        <f>'BF Fault Det (2)'!M4</f>
        <v>12345</v>
      </c>
      <c r="D12" s="2233"/>
      <c r="E12" s="940" t="s">
        <v>2053</v>
      </c>
      <c r="F12" s="941"/>
      <c r="G12" s="941"/>
      <c r="H12" s="941"/>
      <c r="I12" s="942"/>
      <c r="J12" s="943"/>
      <c r="K12" s="943"/>
      <c r="L12" s="943"/>
      <c r="M12" s="939"/>
    </row>
    <row r="13" spans="1:15">
      <c r="A13" s="2191" t="s">
        <v>1661</v>
      </c>
      <c r="B13" s="2187"/>
      <c r="C13" s="2186">
        <f ca="1">CTR/5</f>
        <v>0</v>
      </c>
      <c r="D13" s="2186"/>
      <c r="E13" s="2183" t="s">
        <v>1662</v>
      </c>
      <c r="F13" s="2184"/>
      <c r="G13" s="2184"/>
      <c r="H13" s="2184"/>
      <c r="I13" s="2185"/>
      <c r="J13" s="2186" t="s">
        <v>1663</v>
      </c>
      <c r="K13" s="2186"/>
      <c r="L13" s="2186"/>
      <c r="M13" s="2187"/>
    </row>
    <row r="14" spans="1:15">
      <c r="A14" s="2191" t="s">
        <v>1664</v>
      </c>
      <c r="B14" s="2187"/>
      <c r="C14" s="2186">
        <f>_CTRX/5</f>
        <v>0</v>
      </c>
      <c r="D14" s="2186"/>
      <c r="E14" s="2183" t="s">
        <v>1665</v>
      </c>
      <c r="F14" s="2184"/>
      <c r="G14" s="2184"/>
      <c r="H14" s="2184"/>
      <c r="I14" s="2185"/>
      <c r="J14" s="2186" t="s">
        <v>1666</v>
      </c>
      <c r="K14" s="2186"/>
      <c r="L14" s="2186"/>
      <c r="M14" s="2187"/>
    </row>
    <row r="15" spans="1:15">
      <c r="A15" s="2191" t="s">
        <v>1667</v>
      </c>
      <c r="B15" s="2187"/>
      <c r="C15" s="2186">
        <f ca="1">PTR</f>
        <v>0</v>
      </c>
      <c r="D15" s="2186"/>
      <c r="E15" s="2183" t="s">
        <v>1668</v>
      </c>
      <c r="F15" s="2184"/>
      <c r="G15" s="2184"/>
      <c r="H15" s="2184"/>
      <c r="I15" s="2185"/>
      <c r="J15" s="2186" t="s">
        <v>1669</v>
      </c>
      <c r="K15" s="2186"/>
      <c r="L15" s="2186"/>
      <c r="M15" s="2187"/>
    </row>
    <row r="16" spans="1:15">
      <c r="A16" s="2191" t="s">
        <v>1670</v>
      </c>
      <c r="B16" s="2187"/>
      <c r="C16" s="2208" t="e">
        <f ca="1">'1) Data Entry'!E16*1000/PTR</f>
        <v>#DIV/0!</v>
      </c>
      <c r="D16" s="2208"/>
      <c r="E16" s="2183" t="s">
        <v>1671</v>
      </c>
      <c r="F16" s="2184"/>
      <c r="G16" s="2184"/>
      <c r="H16" s="2184"/>
      <c r="I16" s="2185"/>
      <c r="J16" s="2186" t="s">
        <v>1672</v>
      </c>
      <c r="K16" s="2186"/>
      <c r="L16" s="2186"/>
      <c r="M16" s="2187"/>
    </row>
    <row r="17" spans="1:13">
      <c r="A17" s="2191" t="s">
        <v>1673</v>
      </c>
      <c r="B17" s="2187"/>
      <c r="C17" s="2209">
        <f>_VAZR</f>
        <v>0</v>
      </c>
      <c r="D17" s="2186"/>
      <c r="E17" s="2183" t="s">
        <v>1674</v>
      </c>
      <c r="F17" s="2184"/>
      <c r="G17" s="2184"/>
      <c r="H17" s="2184"/>
      <c r="I17" s="2185"/>
      <c r="J17" s="2186" t="s">
        <v>1675</v>
      </c>
      <c r="K17" s="2186"/>
      <c r="L17" s="2186"/>
      <c r="M17" s="2187"/>
    </row>
    <row r="18" spans="1:13">
      <c r="A18" s="2191" t="s">
        <v>1676</v>
      </c>
      <c r="B18" s="2187"/>
      <c r="C18" s="2209" t="e">
        <f>'1) Data Entry'!E16*1000/_VAZR</f>
        <v>#DIV/0!</v>
      </c>
      <c r="D18" s="2209"/>
      <c r="E18" s="2183" t="s">
        <v>1677</v>
      </c>
      <c r="F18" s="2184"/>
      <c r="G18" s="2184"/>
      <c r="H18" s="2184"/>
      <c r="I18" s="2185"/>
      <c r="J18" s="2186" t="s">
        <v>1678</v>
      </c>
      <c r="K18" s="2186"/>
      <c r="L18" s="2186"/>
      <c r="M18" s="2187"/>
    </row>
    <row r="19" spans="1:13">
      <c r="A19" s="2191" t="s">
        <v>1025</v>
      </c>
      <c r="B19" s="2187"/>
      <c r="C19" s="2186" t="e">
        <f ca="1">_Z1MAG</f>
        <v>#DIV/0!</v>
      </c>
      <c r="D19" s="2186"/>
      <c r="E19" s="2183" t="s">
        <v>1679</v>
      </c>
      <c r="F19" s="2184"/>
      <c r="G19" s="2184"/>
      <c r="H19" s="2184"/>
      <c r="I19" s="2185"/>
      <c r="J19" s="2186" t="s">
        <v>1680</v>
      </c>
      <c r="K19" s="2186"/>
      <c r="L19" s="2186"/>
      <c r="M19" s="2187"/>
    </row>
    <row r="20" spans="1:13">
      <c r="A20" s="2191" t="s">
        <v>1027</v>
      </c>
      <c r="B20" s="2187"/>
      <c r="C20" s="2186" t="e">
        <f>_Z1ANG</f>
        <v>#DIV/0!</v>
      </c>
      <c r="D20" s="2186"/>
      <c r="E20" s="2183" t="s">
        <v>1681</v>
      </c>
      <c r="F20" s="2184"/>
      <c r="G20" s="2184"/>
      <c r="H20" s="2184"/>
      <c r="I20" s="2185"/>
      <c r="J20" s="2186" t="s">
        <v>1682</v>
      </c>
      <c r="K20" s="2186"/>
      <c r="L20" s="2186"/>
      <c r="M20" s="2187"/>
    </row>
    <row r="21" spans="1:13">
      <c r="A21" s="2191" t="s">
        <v>1049</v>
      </c>
      <c r="B21" s="2187"/>
      <c r="C21" s="2186" t="e">
        <f ca="1">_Z0MAG</f>
        <v>#DIV/0!</v>
      </c>
      <c r="D21" s="2186"/>
      <c r="E21" s="2183" t="s">
        <v>1683</v>
      </c>
      <c r="F21" s="2184"/>
      <c r="G21" s="2184"/>
      <c r="H21" s="2184"/>
      <c r="I21" s="2185"/>
      <c r="J21" s="2186" t="s">
        <v>1684</v>
      </c>
      <c r="K21" s="2186"/>
      <c r="L21" s="2186"/>
      <c r="M21" s="2187"/>
    </row>
    <row r="22" spans="1:13">
      <c r="A22" s="2191" t="s">
        <v>1050</v>
      </c>
      <c r="B22" s="2187"/>
      <c r="C22" s="2186" t="e">
        <f>_Z0ANG</f>
        <v>#DIV/0!</v>
      </c>
      <c r="D22" s="2186"/>
      <c r="E22" s="2183" t="s">
        <v>1685</v>
      </c>
      <c r="F22" s="2184"/>
      <c r="G22" s="2184"/>
      <c r="H22" s="2184"/>
      <c r="I22" s="2185"/>
      <c r="J22" s="2186" t="s">
        <v>1686</v>
      </c>
      <c r="K22" s="2186"/>
      <c r="L22" s="2186"/>
      <c r="M22" s="2187"/>
    </row>
    <row r="23" spans="1:13">
      <c r="A23" s="2191" t="s">
        <v>387</v>
      </c>
      <c r="B23" s="2187"/>
      <c r="C23" s="2208">
        <f>'1) Data Entry'!E59</f>
        <v>0</v>
      </c>
      <c r="D23" s="2186"/>
      <c r="E23" s="2183" t="s">
        <v>1687</v>
      </c>
      <c r="F23" s="2184"/>
      <c r="G23" s="2184"/>
      <c r="H23" s="2184"/>
      <c r="I23" s="2185"/>
      <c r="J23" s="2186" t="s">
        <v>714</v>
      </c>
      <c r="K23" s="2186"/>
      <c r="L23" s="2186"/>
      <c r="M23" s="2187"/>
    </row>
    <row r="24" spans="1:13">
      <c r="A24" s="2191" t="s">
        <v>2054</v>
      </c>
      <c r="B24" s="2187"/>
      <c r="C24" s="2210" t="s">
        <v>2055</v>
      </c>
      <c r="D24" s="2211"/>
      <c r="E24" s="2183" t="s">
        <v>2056</v>
      </c>
      <c r="F24" s="2184"/>
      <c r="G24" s="2184"/>
      <c r="H24" s="2184"/>
      <c r="I24" s="2185"/>
      <c r="J24" s="2186" t="s">
        <v>2057</v>
      </c>
      <c r="K24" s="2186"/>
      <c r="L24" s="2186"/>
      <c r="M24" s="2187"/>
    </row>
    <row r="25" spans="1:13">
      <c r="A25" s="2191" t="s">
        <v>1688</v>
      </c>
      <c r="B25" s="2187"/>
      <c r="C25" s="2210">
        <v>5</v>
      </c>
      <c r="D25" s="2211"/>
      <c r="E25" s="2183" t="s">
        <v>1689</v>
      </c>
      <c r="F25" s="2184"/>
      <c r="G25" s="2184"/>
      <c r="H25" s="2184"/>
      <c r="I25" s="2185"/>
      <c r="J25" s="2186" t="s">
        <v>1690</v>
      </c>
      <c r="K25" s="2186"/>
      <c r="L25" s="2186"/>
      <c r="M25" s="2187"/>
    </row>
    <row r="26" spans="1:13">
      <c r="A26" s="2191" t="s">
        <v>1691</v>
      </c>
      <c r="B26" s="2187"/>
      <c r="C26" s="2210">
        <v>5</v>
      </c>
      <c r="D26" s="2211"/>
      <c r="E26" s="2183" t="s">
        <v>1692</v>
      </c>
      <c r="F26" s="2184"/>
      <c r="G26" s="2184"/>
      <c r="H26" s="2184"/>
      <c r="I26" s="2185"/>
      <c r="J26" s="2186" t="s">
        <v>1693</v>
      </c>
      <c r="K26" s="2186"/>
      <c r="L26" s="2186"/>
      <c r="M26" s="2187"/>
    </row>
    <row r="27" spans="1:13">
      <c r="A27" s="2191" t="s">
        <v>1134</v>
      </c>
      <c r="B27" s="2187"/>
      <c r="C27" s="2186" t="e">
        <f ca="1">'7) Relay Calc'!H72</f>
        <v>#DIV/0!</v>
      </c>
      <c r="D27" s="2186"/>
      <c r="E27" s="2183" t="s">
        <v>1694</v>
      </c>
      <c r="F27" s="2184"/>
      <c r="G27" s="2184"/>
      <c r="H27" s="2184"/>
      <c r="I27" s="2185"/>
      <c r="J27" s="2186" t="s">
        <v>1695</v>
      </c>
      <c r="K27" s="2186"/>
      <c r="L27" s="2186"/>
      <c r="M27" s="2187"/>
    </row>
    <row r="28" spans="1:13">
      <c r="A28" s="2191" t="s">
        <v>2058</v>
      </c>
      <c r="B28" s="2187"/>
      <c r="C28" s="2186">
        <f>Remote_CTR_87L</f>
        <v>0</v>
      </c>
      <c r="D28" s="2186"/>
      <c r="E28" s="2183" t="s">
        <v>2059</v>
      </c>
      <c r="F28" s="2184"/>
      <c r="G28" s="2184"/>
      <c r="H28" s="2184"/>
      <c r="I28" s="2185"/>
      <c r="J28" s="2186" t="s">
        <v>2060</v>
      </c>
      <c r="K28" s="2186"/>
      <c r="L28" s="2186"/>
      <c r="M28" s="2187"/>
    </row>
    <row r="29" spans="1:13">
      <c r="A29" s="2191" t="s">
        <v>2061</v>
      </c>
      <c r="B29" s="2187"/>
      <c r="C29" s="2208" t="e">
        <f ca="1">'4) Fault Analysis'!S180</f>
        <v>#DIV/0!</v>
      </c>
      <c r="D29" s="2186"/>
      <c r="E29" s="2183" t="s">
        <v>2062</v>
      </c>
      <c r="F29" s="2184"/>
      <c r="G29" s="2184"/>
      <c r="H29" s="2184"/>
      <c r="I29" s="2185"/>
      <c r="J29" s="2186" t="s">
        <v>2063</v>
      </c>
      <c r="K29" s="2186"/>
      <c r="L29" s="2186"/>
      <c r="M29" s="2187"/>
    </row>
    <row r="30" spans="1:13">
      <c r="A30" s="2191" t="s">
        <v>2064</v>
      </c>
      <c r="B30" s="2187"/>
      <c r="C30" s="2208" t="e">
        <f ca="1">'4) Fault Analysis'!S196</f>
        <v>#DIV/0!</v>
      </c>
      <c r="D30" s="2186"/>
      <c r="E30" s="2183" t="s">
        <v>2065</v>
      </c>
      <c r="F30" s="2184"/>
      <c r="G30" s="2184"/>
      <c r="H30" s="2184"/>
      <c r="I30" s="2185"/>
      <c r="J30" s="2186" t="s">
        <v>2066</v>
      </c>
      <c r="K30" s="2186"/>
      <c r="L30" s="2186"/>
      <c r="M30" s="2187"/>
    </row>
    <row r="31" spans="1:13">
      <c r="A31" s="2191" t="s">
        <v>2067</v>
      </c>
      <c r="B31" s="2187"/>
      <c r="C31" s="2208" t="e">
        <f ca="1">'4) Fault Analysis'!S205</f>
        <v>#DIV/0!</v>
      </c>
      <c r="D31" s="2186"/>
      <c r="E31" s="2183" t="s">
        <v>2068</v>
      </c>
      <c r="F31" s="2184"/>
      <c r="G31" s="2184"/>
      <c r="H31" s="2184"/>
      <c r="I31" s="2185"/>
      <c r="J31" s="2186" t="s">
        <v>2069</v>
      </c>
      <c r="K31" s="2186"/>
      <c r="L31" s="2186"/>
      <c r="M31" s="2187"/>
    </row>
    <row r="32" spans="1:13">
      <c r="A32" s="2191" t="s">
        <v>1699</v>
      </c>
      <c r="B32" s="2187"/>
      <c r="C32" s="2208" t="e">
        <f ca="1">'7) Relay Calc'!H51</f>
        <v>#DIV/0!</v>
      </c>
      <c r="D32" s="2186"/>
      <c r="E32" s="2183" t="s">
        <v>1700</v>
      </c>
      <c r="F32" s="2184"/>
      <c r="G32" s="2184"/>
      <c r="H32" s="2184"/>
      <c r="I32" s="2185"/>
      <c r="J32" s="2186" t="s">
        <v>1701</v>
      </c>
      <c r="K32" s="2186"/>
      <c r="L32" s="2186"/>
      <c r="M32" s="2187"/>
    </row>
    <row r="33" spans="1:13">
      <c r="A33" s="2191" t="s">
        <v>1702</v>
      </c>
      <c r="B33" s="2187"/>
      <c r="C33" s="2208" t="e">
        <f ca="1">'7) Relay Calc'!H52</f>
        <v>#DIV/0!</v>
      </c>
      <c r="D33" s="2186"/>
      <c r="E33" s="2183" t="s">
        <v>1703</v>
      </c>
      <c r="F33" s="2184"/>
      <c r="G33" s="2184"/>
      <c r="H33" s="2184"/>
      <c r="I33" s="2185"/>
      <c r="J33" s="2186" t="s">
        <v>1704</v>
      </c>
      <c r="K33" s="2186"/>
      <c r="L33" s="2186"/>
      <c r="M33" s="2187"/>
    </row>
    <row r="34" spans="1:13">
      <c r="A34" s="2191" t="s">
        <v>1705</v>
      </c>
      <c r="B34" s="2187"/>
      <c r="C34" s="2208" t="e">
        <f ca="1">'7) Relay Calc'!H53</f>
        <v>#DIV/0!</v>
      </c>
      <c r="D34" s="2186"/>
      <c r="E34" s="2183" t="s">
        <v>1706</v>
      </c>
      <c r="F34" s="2184"/>
      <c r="G34" s="2184"/>
      <c r="H34" s="2184"/>
      <c r="I34" s="2185"/>
      <c r="J34" s="2186" t="s">
        <v>1707</v>
      </c>
      <c r="K34" s="2186"/>
      <c r="L34" s="2186"/>
      <c r="M34" s="2187"/>
    </row>
    <row r="35" spans="1:13">
      <c r="A35" s="2191" t="s">
        <v>1708</v>
      </c>
      <c r="B35" s="2187"/>
      <c r="C35" s="2208" t="e">
        <f ca="1">'7) Relay Calc'!H54</f>
        <v>#DIV/0!</v>
      </c>
      <c r="D35" s="2186"/>
      <c r="E35" s="2183" t="s">
        <v>1709</v>
      </c>
      <c r="F35" s="2184"/>
      <c r="G35" s="2184"/>
      <c r="H35" s="2184"/>
      <c r="I35" s="2185"/>
      <c r="J35" s="2186" t="s">
        <v>1710</v>
      </c>
      <c r="K35" s="2186"/>
      <c r="L35" s="2186"/>
      <c r="M35" s="2187"/>
    </row>
    <row r="36" spans="1:13">
      <c r="A36" s="2191" t="s">
        <v>1711</v>
      </c>
      <c r="B36" s="2187"/>
      <c r="C36" s="2212" t="e">
        <f ca="1">'7) Relay Calc'!H55</f>
        <v>#DIV/0!</v>
      </c>
      <c r="D36" s="2213"/>
      <c r="E36" s="2183" t="s">
        <v>1712</v>
      </c>
      <c r="F36" s="2184"/>
      <c r="G36" s="2184"/>
      <c r="H36" s="2184"/>
      <c r="I36" s="2185"/>
      <c r="J36" s="2186" t="s">
        <v>1713</v>
      </c>
      <c r="K36" s="2186"/>
      <c r="L36" s="2186"/>
      <c r="M36" s="2187"/>
    </row>
    <row r="37" spans="1:13">
      <c r="A37" s="2191" t="s">
        <v>1714</v>
      </c>
      <c r="B37" s="2187"/>
      <c r="C37" s="2210">
        <v>50</v>
      </c>
      <c r="D37" s="2211"/>
      <c r="E37" s="2183" t="s">
        <v>1715</v>
      </c>
      <c r="F37" s="2184"/>
      <c r="G37" s="2184"/>
      <c r="H37" s="2184"/>
      <c r="I37" s="2185"/>
      <c r="J37" s="2186" t="s">
        <v>1716</v>
      </c>
      <c r="K37" s="2186"/>
      <c r="L37" s="2186"/>
      <c r="M37" s="2187"/>
    </row>
    <row r="38" spans="1:13">
      <c r="A38" s="2191" t="s">
        <v>1114</v>
      </c>
      <c r="B38" s="2187"/>
      <c r="C38" s="2208" t="e">
        <f ca="1">'7) Relay Calc'!H57</f>
        <v>#DIV/0!</v>
      </c>
      <c r="D38" s="2186"/>
      <c r="E38" s="2183" t="s">
        <v>1717</v>
      </c>
      <c r="F38" s="2184"/>
      <c r="G38" s="2184"/>
      <c r="H38" s="2184"/>
      <c r="I38" s="2185"/>
      <c r="J38" s="2186" t="s">
        <v>1718</v>
      </c>
      <c r="K38" s="2186"/>
      <c r="L38" s="2186"/>
      <c r="M38" s="2187"/>
    </row>
    <row r="39" spans="1:13">
      <c r="A39" s="2191" t="s">
        <v>1116</v>
      </c>
      <c r="B39" s="2187"/>
      <c r="C39" s="2208" t="e">
        <f ca="1">'7) Relay Calc'!H58</f>
        <v>#DIV/0!</v>
      </c>
      <c r="D39" s="2186"/>
      <c r="E39" s="2183" t="s">
        <v>1719</v>
      </c>
      <c r="F39" s="2184"/>
      <c r="G39" s="2184"/>
      <c r="H39" s="2184"/>
      <c r="I39" s="2185"/>
      <c r="J39" s="2186" t="s">
        <v>1720</v>
      </c>
      <c r="K39" s="2186"/>
      <c r="L39" s="2186"/>
      <c r="M39" s="2187"/>
    </row>
    <row r="40" spans="1:13">
      <c r="A40" s="2191" t="s">
        <v>1118</v>
      </c>
      <c r="B40" s="2187"/>
      <c r="C40" s="2208" t="e">
        <f ca="1">'7) Relay Calc'!H59</f>
        <v>#DIV/0!</v>
      </c>
      <c r="D40" s="2186"/>
      <c r="E40" s="2183" t="s">
        <v>1721</v>
      </c>
      <c r="F40" s="2184"/>
      <c r="G40" s="2184"/>
      <c r="H40" s="2184"/>
      <c r="I40" s="2185"/>
      <c r="J40" s="2186" t="s">
        <v>1722</v>
      </c>
      <c r="K40" s="2186"/>
      <c r="L40" s="2186"/>
      <c r="M40" s="2187"/>
    </row>
    <row r="41" spans="1:13">
      <c r="A41" s="2191" t="s">
        <v>1120</v>
      </c>
      <c r="B41" s="2187"/>
      <c r="C41" s="2208" t="e">
        <f ca="1">'7) Relay Calc'!H60</f>
        <v>#DIV/0!</v>
      </c>
      <c r="D41" s="2186"/>
      <c r="E41" s="2183" t="s">
        <v>1723</v>
      </c>
      <c r="F41" s="2184"/>
      <c r="G41" s="2184"/>
      <c r="H41" s="2184"/>
      <c r="I41" s="2185"/>
      <c r="J41" s="2186" t="s">
        <v>1724</v>
      </c>
      <c r="K41" s="2186"/>
      <c r="L41" s="2186"/>
      <c r="M41" s="2187"/>
    </row>
    <row r="42" spans="1:13">
      <c r="A42" s="2191" t="s">
        <v>1122</v>
      </c>
      <c r="B42" s="2187"/>
      <c r="C42" s="2208" t="e">
        <f ca="1">'7) Relay Calc'!H61</f>
        <v>#DIV/0!</v>
      </c>
      <c r="D42" s="2186"/>
      <c r="E42" s="2183" t="s">
        <v>1725</v>
      </c>
      <c r="F42" s="2184"/>
      <c r="G42" s="2184"/>
      <c r="H42" s="2184"/>
      <c r="I42" s="2185"/>
      <c r="J42" s="2186" t="s">
        <v>1726</v>
      </c>
      <c r="K42" s="2186"/>
      <c r="L42" s="2186"/>
      <c r="M42" s="2187"/>
    </row>
    <row r="43" spans="1:13">
      <c r="A43" s="2191" t="s">
        <v>1727</v>
      </c>
      <c r="B43" s="2187"/>
      <c r="C43" s="2208" t="e">
        <f ca="1">'7) Relay Calc'!D78</f>
        <v>#DIV/0!</v>
      </c>
      <c r="D43" s="2186"/>
      <c r="E43" s="2183" t="s">
        <v>1728</v>
      </c>
      <c r="F43" s="2184"/>
      <c r="G43" s="2184"/>
      <c r="H43" s="2184"/>
      <c r="I43" s="2185"/>
      <c r="J43" s="2186" t="s">
        <v>1729</v>
      </c>
      <c r="K43" s="2186"/>
      <c r="L43" s="2186"/>
      <c r="M43" s="2187"/>
    </row>
    <row r="44" spans="1:13">
      <c r="A44" s="2191" t="s">
        <v>1140</v>
      </c>
      <c r="B44" s="2187"/>
      <c r="C44" s="2208" t="e">
        <f ca="1">'7) Relay Calc'!L78</f>
        <v>#DIV/0!</v>
      </c>
      <c r="D44" s="2186"/>
      <c r="E44" s="2183" t="s">
        <v>1730</v>
      </c>
      <c r="F44" s="2184"/>
      <c r="G44" s="2184"/>
      <c r="H44" s="2184"/>
      <c r="I44" s="2185"/>
      <c r="J44" s="2186" t="s">
        <v>1729</v>
      </c>
      <c r="K44" s="2186"/>
      <c r="L44" s="2186"/>
      <c r="M44" s="2187"/>
    </row>
    <row r="45" spans="1:13">
      <c r="A45" s="2191" t="s">
        <v>1731</v>
      </c>
      <c r="B45" s="2187"/>
      <c r="C45" s="2208" t="e">
        <f ca="1">'7) Relay Calc'!D79</f>
        <v>#DIV/0!</v>
      </c>
      <c r="D45" s="2186"/>
      <c r="E45" s="2183" t="s">
        <v>1732</v>
      </c>
      <c r="F45" s="2184"/>
      <c r="G45" s="2184"/>
      <c r="H45" s="2184"/>
      <c r="I45" s="2185"/>
      <c r="J45" s="2186" t="s">
        <v>1733</v>
      </c>
      <c r="K45" s="2186"/>
      <c r="L45" s="2186"/>
      <c r="M45" s="2187"/>
    </row>
    <row r="46" spans="1:13">
      <c r="A46" s="2191" t="s">
        <v>1142</v>
      </c>
      <c r="B46" s="2187"/>
      <c r="C46" s="2208" t="e">
        <f ca="1">'7) Relay Calc'!L79</f>
        <v>#DIV/0!</v>
      </c>
      <c r="D46" s="2186"/>
      <c r="E46" s="2183" t="s">
        <v>1734</v>
      </c>
      <c r="F46" s="2184"/>
      <c r="G46" s="2184"/>
      <c r="H46" s="2184"/>
      <c r="I46" s="2185"/>
      <c r="J46" s="2186" t="s">
        <v>1733</v>
      </c>
      <c r="K46" s="2186"/>
      <c r="L46" s="2186"/>
      <c r="M46" s="2187"/>
    </row>
    <row r="47" spans="1:13">
      <c r="A47" s="2191" t="s">
        <v>1735</v>
      </c>
      <c r="B47" s="2187"/>
      <c r="C47" s="2208" t="e">
        <f ca="1">'7) Relay Calc'!D81</f>
        <v>#DIV/0!</v>
      </c>
      <c r="D47" s="2186"/>
      <c r="E47" s="2183" t="s">
        <v>1736</v>
      </c>
      <c r="F47" s="2184"/>
      <c r="G47" s="2184"/>
      <c r="H47" s="2184"/>
      <c r="I47" s="2185"/>
      <c r="J47" s="2186" t="s">
        <v>1737</v>
      </c>
      <c r="K47" s="2186"/>
      <c r="L47" s="2186"/>
      <c r="M47" s="2187"/>
    </row>
    <row r="48" spans="1:13">
      <c r="A48" s="2191" t="s">
        <v>1148</v>
      </c>
      <c r="B48" s="2187"/>
      <c r="C48" s="2208" t="e">
        <f ca="1">'7) Relay Calc'!L81</f>
        <v>#DIV/0!</v>
      </c>
      <c r="D48" s="2186"/>
      <c r="E48" s="2183" t="s">
        <v>1738</v>
      </c>
      <c r="F48" s="2184"/>
      <c r="G48" s="2184"/>
      <c r="H48" s="2184"/>
      <c r="I48" s="2185"/>
      <c r="J48" s="2186" t="s">
        <v>1737</v>
      </c>
      <c r="K48" s="2186"/>
      <c r="L48" s="2186"/>
      <c r="M48" s="2187"/>
    </row>
    <row r="49" spans="1:13">
      <c r="A49" s="2191" t="s">
        <v>1739</v>
      </c>
      <c r="B49" s="2187"/>
      <c r="C49" s="2208" t="e">
        <f ca="1">'7) Relay Calc'!D82</f>
        <v>#DIV/0!</v>
      </c>
      <c r="D49" s="2186"/>
      <c r="E49" s="2183" t="s">
        <v>1740</v>
      </c>
      <c r="F49" s="2184"/>
      <c r="G49" s="2184"/>
      <c r="H49" s="2184"/>
      <c r="I49" s="2185"/>
      <c r="J49" s="2183" t="s">
        <v>1741</v>
      </c>
      <c r="K49" s="2184"/>
      <c r="L49" s="2184"/>
      <c r="M49" s="2185"/>
    </row>
    <row r="50" spans="1:13">
      <c r="A50" s="2191" t="s">
        <v>1742</v>
      </c>
      <c r="B50" s="2187"/>
      <c r="C50" s="2208" t="e">
        <f ca="1">'7) Relay Calc'!L82</f>
        <v>#DIV/0!</v>
      </c>
      <c r="D50" s="2186"/>
      <c r="E50" s="2183" t="s">
        <v>1743</v>
      </c>
      <c r="F50" s="2184"/>
      <c r="G50" s="2184"/>
      <c r="H50" s="2184"/>
      <c r="I50" s="2185"/>
      <c r="J50" s="2183" t="s">
        <v>1741</v>
      </c>
      <c r="K50" s="2184"/>
      <c r="L50" s="2184"/>
      <c r="M50" s="2185"/>
    </row>
    <row r="51" spans="1:13">
      <c r="A51" s="2191" t="s">
        <v>1064</v>
      </c>
      <c r="B51" s="2187"/>
      <c r="C51" s="2186" t="e">
        <f ca="1">ROUND('7) Relay Calc'!D37,3)</f>
        <v>#DIV/0!</v>
      </c>
      <c r="D51" s="2186"/>
      <c r="E51" s="2183" t="s">
        <v>1744</v>
      </c>
      <c r="F51" s="2184"/>
      <c r="G51" s="2184"/>
      <c r="H51" s="2184"/>
      <c r="I51" s="2185"/>
      <c r="J51" s="2186" t="s">
        <v>1745</v>
      </c>
      <c r="K51" s="2186"/>
      <c r="L51" s="2186"/>
      <c r="M51" s="2187"/>
    </row>
    <row r="52" spans="1:13">
      <c r="A52" s="2191" t="s">
        <v>1066</v>
      </c>
      <c r="B52" s="2187"/>
      <c r="C52" s="2208" t="e">
        <f ca="1">'7) Relay Calc'!J37</f>
        <v>#DIV/0!</v>
      </c>
      <c r="D52" s="2208"/>
      <c r="E52" s="2183" t="s">
        <v>1746</v>
      </c>
      <c r="F52" s="2184"/>
      <c r="G52" s="2184"/>
      <c r="H52" s="2184"/>
      <c r="I52" s="2185"/>
      <c r="J52" s="2186" t="s">
        <v>1745</v>
      </c>
      <c r="K52" s="2186"/>
      <c r="L52" s="2186"/>
      <c r="M52" s="2187"/>
    </row>
    <row r="53" spans="1:13">
      <c r="A53" s="2191" t="s">
        <v>1747</v>
      </c>
      <c r="B53" s="2187"/>
      <c r="C53" s="2210">
        <v>50</v>
      </c>
      <c r="D53" s="2211"/>
      <c r="E53" s="2183" t="s">
        <v>1748</v>
      </c>
      <c r="F53" s="2184"/>
      <c r="G53" s="2184"/>
      <c r="H53" s="2184"/>
      <c r="I53" s="2185"/>
      <c r="J53" s="2186" t="s">
        <v>1749</v>
      </c>
      <c r="K53" s="2186"/>
      <c r="L53" s="2186"/>
      <c r="M53" s="2187"/>
    </row>
    <row r="54" spans="1:13">
      <c r="A54" s="2191" t="s">
        <v>1750</v>
      </c>
      <c r="B54" s="2187"/>
      <c r="C54" s="2210">
        <v>0</v>
      </c>
      <c r="D54" s="2211"/>
      <c r="E54" s="2183" t="s">
        <v>1751</v>
      </c>
      <c r="F54" s="2184"/>
      <c r="G54" s="2184"/>
      <c r="H54" s="2184"/>
      <c r="I54" s="2185"/>
      <c r="J54" s="2186" t="s">
        <v>1752</v>
      </c>
      <c r="K54" s="2186"/>
      <c r="L54" s="2186"/>
      <c r="M54" s="2187"/>
    </row>
    <row r="55" spans="1:13">
      <c r="A55" s="2191" t="s">
        <v>1753</v>
      </c>
      <c r="B55" s="2187"/>
      <c r="C55" s="2210">
        <v>20</v>
      </c>
      <c r="D55" s="2211"/>
      <c r="E55" s="2183" t="s">
        <v>1754</v>
      </c>
      <c r="F55" s="2184"/>
      <c r="G55" s="2184"/>
      <c r="H55" s="2184"/>
      <c r="I55" s="2185"/>
      <c r="J55" s="2186" t="s">
        <v>1755</v>
      </c>
      <c r="K55" s="2186"/>
      <c r="L55" s="2186"/>
      <c r="M55" s="2187"/>
    </row>
    <row r="56" spans="1:13">
      <c r="A56" s="2191" t="s">
        <v>1756</v>
      </c>
      <c r="B56" s="2187"/>
      <c r="C56" s="2210">
        <v>20</v>
      </c>
      <c r="D56" s="2211"/>
      <c r="E56" s="2183" t="s">
        <v>1757</v>
      </c>
      <c r="F56" s="2184"/>
      <c r="G56" s="2184"/>
      <c r="H56" s="2184"/>
      <c r="I56" s="2185"/>
      <c r="J56" s="2186" t="s">
        <v>1758</v>
      </c>
      <c r="K56" s="2186"/>
      <c r="L56" s="2186"/>
      <c r="M56" s="2187"/>
    </row>
    <row r="57" spans="1:13">
      <c r="A57" s="2191" t="s">
        <v>1759</v>
      </c>
      <c r="B57" s="2187"/>
      <c r="C57" s="2186" t="e">
        <f ca="1">_ZLF</f>
        <v>#DIV/0!</v>
      </c>
      <c r="D57" s="2186"/>
      <c r="E57" s="2183" t="s">
        <v>1760</v>
      </c>
      <c r="F57" s="2184"/>
      <c r="G57" s="2184"/>
      <c r="H57" s="2184"/>
      <c r="I57" s="2185"/>
      <c r="J57" s="2186" t="s">
        <v>1761</v>
      </c>
      <c r="K57" s="2186"/>
      <c r="L57" s="2186"/>
      <c r="M57" s="2187"/>
    </row>
    <row r="58" spans="1:13">
      <c r="A58" s="2191" t="s">
        <v>1762</v>
      </c>
      <c r="B58" s="2187"/>
      <c r="C58" s="2186" t="e">
        <f ca="1">_ZLF</f>
        <v>#DIV/0!</v>
      </c>
      <c r="D58" s="2186"/>
      <c r="E58" s="2183" t="s">
        <v>1763</v>
      </c>
      <c r="F58" s="2184"/>
      <c r="G58" s="2184"/>
      <c r="H58" s="2184"/>
      <c r="I58" s="2185"/>
      <c r="J58" s="2186" t="s">
        <v>1764</v>
      </c>
      <c r="K58" s="2186"/>
      <c r="L58" s="2186"/>
      <c r="M58" s="2187"/>
    </row>
    <row r="59" spans="1:13">
      <c r="A59" s="2191" t="s">
        <v>898</v>
      </c>
      <c r="B59" s="2187"/>
      <c r="C59" s="2192">
        <f>'6) Zone Imp'!U163</f>
        <v>40</v>
      </c>
      <c r="D59" s="2192"/>
      <c r="E59" s="2183" t="s">
        <v>1765</v>
      </c>
      <c r="F59" s="2184"/>
      <c r="G59" s="2184"/>
      <c r="H59" s="2184"/>
      <c r="I59" s="2185"/>
      <c r="J59" s="2186" t="s">
        <v>1761</v>
      </c>
      <c r="K59" s="2186"/>
      <c r="L59" s="2186"/>
      <c r="M59" s="2187"/>
    </row>
    <row r="60" spans="1:13">
      <c r="A60" s="2191" t="s">
        <v>899</v>
      </c>
      <c r="B60" s="2187"/>
      <c r="C60" s="2192">
        <f>'6) Zone Imp'!U164</f>
        <v>-40</v>
      </c>
      <c r="D60" s="2192"/>
      <c r="E60" s="2183" t="s">
        <v>1766</v>
      </c>
      <c r="F60" s="2184"/>
      <c r="G60" s="2184"/>
      <c r="H60" s="2184"/>
      <c r="I60" s="2185"/>
      <c r="J60" s="2186" t="s">
        <v>1761</v>
      </c>
      <c r="K60" s="2186"/>
      <c r="L60" s="2186"/>
      <c r="M60" s="2187"/>
    </row>
    <row r="61" spans="1:13">
      <c r="A61" s="2191" t="s">
        <v>1767</v>
      </c>
      <c r="B61" s="2187"/>
      <c r="C61" s="2192">
        <f>180-C59</f>
        <v>140</v>
      </c>
      <c r="D61" s="2192"/>
      <c r="E61" s="2183" t="s">
        <v>1768</v>
      </c>
      <c r="F61" s="2184"/>
      <c r="G61" s="2184"/>
      <c r="H61" s="2184"/>
      <c r="I61" s="2185"/>
      <c r="J61" s="2186" t="s">
        <v>1764</v>
      </c>
      <c r="K61" s="2186"/>
      <c r="L61" s="2186"/>
      <c r="M61" s="2187"/>
    </row>
    <row r="62" spans="1:13">
      <c r="A62" s="2191" t="s">
        <v>1769</v>
      </c>
      <c r="B62" s="2187"/>
      <c r="C62" s="2192">
        <f>180-C60</f>
        <v>220</v>
      </c>
      <c r="D62" s="2192"/>
      <c r="E62" s="2183" t="s">
        <v>1770</v>
      </c>
      <c r="F62" s="2184"/>
      <c r="G62" s="2184"/>
      <c r="H62" s="2184"/>
      <c r="I62" s="2185"/>
      <c r="J62" s="2186" t="s">
        <v>1764</v>
      </c>
      <c r="K62" s="2186"/>
      <c r="L62" s="2186"/>
      <c r="M62" s="2187"/>
    </row>
    <row r="63" spans="1:13">
      <c r="A63" s="2191" t="s">
        <v>1398</v>
      </c>
      <c r="B63" s="2187"/>
      <c r="C63" s="2186" t="e">
        <f ca="1">_50P1P</f>
        <v>#DIV/0!</v>
      </c>
      <c r="D63" s="2186"/>
      <c r="E63" s="2183" t="s">
        <v>1771</v>
      </c>
      <c r="F63" s="2184"/>
      <c r="G63" s="2184"/>
      <c r="H63" s="2184"/>
      <c r="I63" s="2185"/>
      <c r="J63" s="2186" t="s">
        <v>1604</v>
      </c>
      <c r="K63" s="2186"/>
      <c r="L63" s="2186"/>
      <c r="M63" s="2187"/>
    </row>
    <row r="64" spans="1:13">
      <c r="A64" s="2191" t="s">
        <v>1772</v>
      </c>
      <c r="B64" s="2187"/>
      <c r="C64" s="2186">
        <f>'10) SOTF'!Q45</f>
        <v>2</v>
      </c>
      <c r="D64" s="2186"/>
      <c r="E64" s="2183" t="s">
        <v>1773</v>
      </c>
      <c r="F64" s="2184"/>
      <c r="G64" s="2184"/>
      <c r="H64" s="2184"/>
      <c r="I64" s="2185"/>
      <c r="J64" s="2186" t="s">
        <v>1774</v>
      </c>
      <c r="K64" s="2186"/>
      <c r="L64" s="2186"/>
      <c r="M64" s="2187"/>
    </row>
    <row r="65" spans="1:13" ht="31.5" customHeight="1">
      <c r="A65" s="2220" t="s">
        <v>1775</v>
      </c>
      <c r="B65" s="2221"/>
      <c r="C65" s="2222" t="str">
        <f>'10) SOTF'!Q39</f>
        <v>VAFIM &lt; PMV13 OR VBFIM &lt; PMV13 OR VCFIM &lt; PMV13 #SOTF 50 SUPV 65% NOM</v>
      </c>
      <c r="D65" s="2223"/>
      <c r="E65" s="2224" t="s">
        <v>1776</v>
      </c>
      <c r="F65" s="2225"/>
      <c r="G65" s="2225"/>
      <c r="H65" s="2225"/>
      <c r="I65" s="2226"/>
      <c r="J65" s="2227" t="s">
        <v>1777</v>
      </c>
      <c r="K65" s="2227"/>
      <c r="L65" s="2227"/>
      <c r="M65" s="2221"/>
    </row>
    <row r="66" spans="1:13">
      <c r="A66" s="2191" t="s">
        <v>1778</v>
      </c>
      <c r="B66" s="2187"/>
      <c r="C66" s="2192" t="e">
        <f ca="1">_50P2P</f>
        <v>#DIV/0!</v>
      </c>
      <c r="D66" s="2192"/>
      <c r="E66" s="2183" t="s">
        <v>1779</v>
      </c>
      <c r="F66" s="2184"/>
      <c r="G66" s="2184"/>
      <c r="H66" s="2184"/>
      <c r="I66" s="2185"/>
      <c r="J66" s="2186" t="s">
        <v>1780</v>
      </c>
      <c r="K66" s="2186"/>
      <c r="L66" s="2186"/>
      <c r="M66" s="2187"/>
    </row>
    <row r="67" spans="1:13">
      <c r="A67" s="2191" t="s">
        <v>1424</v>
      </c>
      <c r="B67" s="2187"/>
      <c r="C67" s="2192" t="e">
        <f ca="1">_50P3P</f>
        <v>#DIV/0!</v>
      </c>
      <c r="D67" s="2192"/>
      <c r="E67" s="2183" t="s">
        <v>1781</v>
      </c>
      <c r="F67" s="2184"/>
      <c r="G67" s="2184"/>
      <c r="H67" s="2184"/>
      <c r="I67" s="2185"/>
      <c r="J67" s="2186" t="s">
        <v>1606</v>
      </c>
      <c r="K67" s="2186"/>
      <c r="L67" s="2186"/>
      <c r="M67" s="2187"/>
    </row>
    <row r="68" spans="1:13">
      <c r="A68" s="2191" t="s">
        <v>1364</v>
      </c>
      <c r="B68" s="2187"/>
      <c r="C68" s="2186" t="e">
        <f ca="1">_50P4P</f>
        <v>#DIV/0!</v>
      </c>
      <c r="D68" s="2186"/>
      <c r="E68" s="2183" t="s">
        <v>1782</v>
      </c>
      <c r="F68" s="2184"/>
      <c r="G68" s="2184"/>
      <c r="H68" s="2184"/>
      <c r="I68" s="2185"/>
      <c r="J68" s="2186" t="s">
        <v>1783</v>
      </c>
      <c r="K68" s="2186"/>
      <c r="L68" s="2186"/>
      <c r="M68" s="2187"/>
    </row>
    <row r="69" spans="1:13">
      <c r="A69" s="2191" t="s">
        <v>629</v>
      </c>
      <c r="B69" s="2187"/>
      <c r="C69" s="2186" t="e">
        <f ca="1">_50G2P</f>
        <v>#DIV/0!</v>
      </c>
      <c r="D69" s="2186"/>
      <c r="E69" s="2183" t="s">
        <v>1784</v>
      </c>
      <c r="F69" s="2184"/>
      <c r="G69" s="2184"/>
      <c r="H69" s="2184"/>
      <c r="I69" s="2185"/>
      <c r="J69" s="2186" t="s">
        <v>1785</v>
      </c>
      <c r="K69" s="2186"/>
      <c r="L69" s="2186"/>
      <c r="M69" s="2187"/>
    </row>
    <row r="70" spans="1:13">
      <c r="A70" s="2191" t="s">
        <v>637</v>
      </c>
      <c r="B70" s="2187"/>
      <c r="C70" s="2186">
        <f>_50G3P</f>
        <v>0.5</v>
      </c>
      <c r="D70" s="2186"/>
      <c r="E70" s="2183" t="s">
        <v>1786</v>
      </c>
      <c r="F70" s="2184"/>
      <c r="G70" s="2184"/>
      <c r="H70" s="2184"/>
      <c r="I70" s="2185"/>
      <c r="J70" s="2186" t="s">
        <v>1787</v>
      </c>
      <c r="K70" s="2186"/>
      <c r="L70" s="2186"/>
      <c r="M70" s="2187"/>
    </row>
    <row r="71" spans="1:13">
      <c r="A71" s="2191" t="s">
        <v>1371</v>
      </c>
      <c r="B71" s="2187"/>
      <c r="C71" s="2186" t="e">
        <f ca="1">_50G4P</f>
        <v>#DIV/0!</v>
      </c>
      <c r="D71" s="2186"/>
      <c r="E71" s="2183" t="s">
        <v>1788</v>
      </c>
      <c r="F71" s="2184"/>
      <c r="G71" s="2184"/>
      <c r="H71" s="2184"/>
      <c r="I71" s="2185"/>
      <c r="J71" s="2186" t="s">
        <v>1789</v>
      </c>
      <c r="K71" s="2186"/>
      <c r="L71" s="2186"/>
      <c r="M71" s="2187"/>
    </row>
    <row r="72" spans="1:13">
      <c r="A72" s="2191" t="s">
        <v>1790</v>
      </c>
      <c r="B72" s="2187"/>
      <c r="C72" s="2210">
        <v>1</v>
      </c>
      <c r="D72" s="2211"/>
      <c r="E72" s="2183" t="s">
        <v>1791</v>
      </c>
      <c r="F72" s="2184"/>
      <c r="G72" s="2184"/>
      <c r="H72" s="2184"/>
      <c r="I72" s="2185"/>
      <c r="J72" s="2186" t="s">
        <v>1792</v>
      </c>
      <c r="K72" s="2186"/>
      <c r="L72" s="2186"/>
      <c r="M72" s="2187"/>
    </row>
    <row r="73" spans="1:13">
      <c r="A73" s="2191" t="s">
        <v>1381</v>
      </c>
      <c r="B73" s="2187"/>
      <c r="C73" s="2186" t="e">
        <f ca="1">_50Q4P</f>
        <v>#DIV/0!</v>
      </c>
      <c r="D73" s="2186"/>
      <c r="E73" s="2183" t="s">
        <v>1793</v>
      </c>
      <c r="F73" s="2184"/>
      <c r="G73" s="2184"/>
      <c r="H73" s="2184"/>
      <c r="I73" s="2185"/>
      <c r="J73" s="2186" t="s">
        <v>1794</v>
      </c>
      <c r="K73" s="2186"/>
      <c r="L73" s="2186"/>
      <c r="M73" s="2187"/>
    </row>
    <row r="74" spans="1:13">
      <c r="A74" s="2191" t="s">
        <v>2070</v>
      </c>
      <c r="B74" s="2187"/>
      <c r="C74" s="2192" t="e">
        <f ca="1">_51S1P</f>
        <v>#DIV/0!</v>
      </c>
      <c r="D74" s="2192"/>
      <c r="E74" s="2183" t="s">
        <v>2071</v>
      </c>
      <c r="F74" s="2184"/>
      <c r="G74" s="2184"/>
      <c r="H74" s="2184"/>
      <c r="I74" s="2185"/>
      <c r="J74" s="2186" t="s">
        <v>1797</v>
      </c>
      <c r="K74" s="2186"/>
      <c r="L74" s="2186"/>
      <c r="M74" s="2187"/>
    </row>
    <row r="75" spans="1:13">
      <c r="A75" s="2191" t="s">
        <v>2072</v>
      </c>
      <c r="B75" s="2187"/>
      <c r="C75" s="2208" t="str">
        <f>'8) LOP &amp; Ground TOC'!G75</f>
        <v>U2</v>
      </c>
      <c r="D75" s="2186"/>
      <c r="E75" s="2183" t="s">
        <v>2073</v>
      </c>
      <c r="F75" s="2184"/>
      <c r="G75" s="2184"/>
      <c r="H75" s="2184"/>
      <c r="I75" s="2185"/>
      <c r="J75" s="2186" t="s">
        <v>1800</v>
      </c>
      <c r="K75" s="2186"/>
      <c r="L75" s="2186"/>
      <c r="M75" s="2187"/>
    </row>
    <row r="76" spans="1:13">
      <c r="A76" s="2191" t="s">
        <v>2074</v>
      </c>
      <c r="B76" s="2187"/>
      <c r="C76" s="2186" t="e">
        <f ca="1">'8) LOP &amp; Ground TOC'!S74</f>
        <v>#DIV/0!</v>
      </c>
      <c r="D76" s="2186"/>
      <c r="E76" s="2183" t="s">
        <v>2075</v>
      </c>
      <c r="F76" s="2184"/>
      <c r="G76" s="2184"/>
      <c r="H76" s="2184"/>
      <c r="I76" s="2185"/>
      <c r="J76" s="2186" t="s">
        <v>1803</v>
      </c>
      <c r="K76" s="2186"/>
      <c r="L76" s="2186"/>
      <c r="M76" s="2187"/>
    </row>
    <row r="77" spans="1:13">
      <c r="A77" s="2191" t="s">
        <v>2076</v>
      </c>
      <c r="B77" s="2187"/>
      <c r="C77" s="2186" t="e">
        <f ca="1">'8) LOP &amp; Ground TOC'!S120</f>
        <v>#DIV/0!</v>
      </c>
      <c r="D77" s="2186"/>
      <c r="E77" s="2183" t="s">
        <v>2077</v>
      </c>
      <c r="F77" s="2184"/>
      <c r="G77" s="2184"/>
      <c r="H77" s="2184"/>
      <c r="I77" s="2185"/>
      <c r="J77" s="2186" t="s">
        <v>1806</v>
      </c>
      <c r="K77" s="2186"/>
      <c r="L77" s="2186"/>
      <c r="M77" s="2187"/>
    </row>
    <row r="78" spans="1:13">
      <c r="A78" s="2191" t="s">
        <v>1807</v>
      </c>
      <c r="B78" s="2187"/>
      <c r="C78" s="2186" t="e">
        <f ca="1">_50FP1</f>
        <v>#DIV/0!</v>
      </c>
      <c r="D78" s="2186"/>
      <c r="E78" s="2183" t="s">
        <v>1808</v>
      </c>
      <c r="F78" s="2184"/>
      <c r="G78" s="2184"/>
      <c r="H78" s="2184"/>
      <c r="I78" s="2185"/>
      <c r="J78" s="2186" t="s">
        <v>1809</v>
      </c>
      <c r="K78" s="2186"/>
      <c r="L78" s="2186"/>
      <c r="M78" s="2187"/>
    </row>
    <row r="79" spans="1:13">
      <c r="A79" s="2191" t="s">
        <v>1810</v>
      </c>
      <c r="B79" s="2187"/>
      <c r="C79" s="2186">
        <f>_BFPU1</f>
        <v>10</v>
      </c>
      <c r="D79" s="2186"/>
      <c r="E79" s="2183" t="s">
        <v>1811</v>
      </c>
      <c r="F79" s="2184"/>
      <c r="G79" s="2184"/>
      <c r="H79" s="2184"/>
      <c r="I79" s="2185"/>
      <c r="J79" s="2186" t="s">
        <v>1812</v>
      </c>
      <c r="K79" s="2186"/>
      <c r="L79" s="2186"/>
      <c r="M79" s="2187"/>
    </row>
    <row r="80" spans="1:13">
      <c r="A80" s="2191" t="s">
        <v>1813</v>
      </c>
      <c r="B80" s="2187"/>
      <c r="C80" s="2186" t="e">
        <f ca="1">_50RP1</f>
        <v>#DIV/0!</v>
      </c>
      <c r="D80" s="2186"/>
      <c r="E80" s="2183" t="s">
        <v>1814</v>
      </c>
      <c r="F80" s="2184"/>
      <c r="G80" s="2184"/>
      <c r="H80" s="2184"/>
      <c r="I80" s="2185"/>
      <c r="J80" s="2186" t="s">
        <v>1815</v>
      </c>
      <c r="K80" s="2186"/>
      <c r="L80" s="2186"/>
      <c r="M80" s="2187"/>
    </row>
    <row r="81" spans="1:13">
      <c r="A81" s="2191" t="s">
        <v>1816</v>
      </c>
      <c r="B81" s="2187"/>
      <c r="C81" s="2186">
        <f>_NPU1</f>
        <v>10</v>
      </c>
      <c r="D81" s="2186"/>
      <c r="E81" s="2183" t="s">
        <v>1817</v>
      </c>
      <c r="F81" s="2184"/>
      <c r="G81" s="2184"/>
      <c r="H81" s="2184"/>
      <c r="I81" s="2185"/>
      <c r="J81" s="2186" t="s">
        <v>1812</v>
      </c>
      <c r="K81" s="2186"/>
      <c r="L81" s="2186"/>
      <c r="M81" s="2187"/>
    </row>
    <row r="82" spans="1:13">
      <c r="A82" s="2191" t="s">
        <v>1818</v>
      </c>
      <c r="B82" s="2187"/>
      <c r="C82" s="2186" t="e">
        <f ca="1">'BF Fault Det (2)'!AA26</f>
        <v>#DIV/0!</v>
      </c>
      <c r="D82" s="2186"/>
      <c r="E82" s="2183" t="s">
        <v>1819</v>
      </c>
      <c r="F82" s="2184"/>
      <c r="G82" s="2184"/>
      <c r="H82" s="2184"/>
      <c r="I82" s="2185"/>
      <c r="J82" s="2186" t="s">
        <v>1820</v>
      </c>
      <c r="K82" s="2186"/>
      <c r="L82" s="2186"/>
      <c r="M82" s="2187"/>
    </row>
    <row r="83" spans="1:13">
      <c r="A83" s="2191" t="s">
        <v>1821</v>
      </c>
      <c r="B83" s="2187"/>
      <c r="C83" s="2209">
        <f>'BF Fault Det (2)'!AA35</f>
        <v>10</v>
      </c>
      <c r="D83" s="2186"/>
      <c r="E83" s="2183" t="s">
        <v>1822</v>
      </c>
      <c r="F83" s="2184"/>
      <c r="G83" s="2184"/>
      <c r="H83" s="2184"/>
      <c r="I83" s="2185"/>
      <c r="J83" s="2186" t="s">
        <v>1823</v>
      </c>
      <c r="K83" s="2186"/>
      <c r="L83" s="2186"/>
      <c r="M83" s="2187"/>
    </row>
    <row r="84" spans="1:13">
      <c r="A84" s="2191" t="s">
        <v>1824</v>
      </c>
      <c r="B84" s="2187"/>
      <c r="C84" s="2186" t="e">
        <f ca="1">'BF Fault Det (2)'!AA32</f>
        <v>#DIV/0!</v>
      </c>
      <c r="D84" s="2186"/>
      <c r="E84" s="2183" t="s">
        <v>1825</v>
      </c>
      <c r="F84" s="2184"/>
      <c r="G84" s="2184"/>
      <c r="H84" s="2184"/>
      <c r="I84" s="2185"/>
      <c r="J84" s="2186" t="s">
        <v>1826</v>
      </c>
      <c r="K84" s="2186"/>
      <c r="L84" s="2186"/>
      <c r="M84" s="2187"/>
    </row>
    <row r="85" spans="1:13">
      <c r="A85" s="2191" t="s">
        <v>1827</v>
      </c>
      <c r="B85" s="2187"/>
      <c r="C85" s="2209">
        <f>'BF Fault Det (2)'!AA35</f>
        <v>10</v>
      </c>
      <c r="D85" s="2186"/>
      <c r="E85" s="2183" t="s">
        <v>1828</v>
      </c>
      <c r="F85" s="2184"/>
      <c r="G85" s="2184"/>
      <c r="H85" s="2184"/>
      <c r="I85" s="2185"/>
      <c r="J85" s="2186" t="s">
        <v>1823</v>
      </c>
      <c r="K85" s="2186"/>
      <c r="L85" s="2186"/>
      <c r="M85" s="2187"/>
    </row>
    <row r="86" spans="1:13">
      <c r="A86" s="2191" t="s">
        <v>1829</v>
      </c>
      <c r="B86" s="2187"/>
      <c r="C86" s="2186">
        <f>_SYNCP</f>
        <v>0</v>
      </c>
      <c r="D86" s="2186"/>
      <c r="E86" s="2183" t="s">
        <v>1830</v>
      </c>
      <c r="F86" s="2184"/>
      <c r="G86" s="2184"/>
      <c r="H86" s="2184"/>
      <c r="I86" s="2185"/>
      <c r="J86" s="2186" t="s">
        <v>1831</v>
      </c>
      <c r="K86" s="2186"/>
      <c r="L86" s="2186"/>
      <c r="M86" s="2187"/>
    </row>
    <row r="87" spans="1:13">
      <c r="A87" s="2191" t="s">
        <v>1832</v>
      </c>
      <c r="B87" s="2187"/>
      <c r="C87" s="2209" t="e">
        <f>_25VL</f>
        <v>#VALUE!</v>
      </c>
      <c r="D87" s="2209"/>
      <c r="E87" s="2183" t="s">
        <v>1833</v>
      </c>
      <c r="F87" s="2184"/>
      <c r="G87" s="2184"/>
      <c r="H87" s="2184"/>
      <c r="I87" s="2185"/>
      <c r="J87" s="2186" t="s">
        <v>1834</v>
      </c>
      <c r="K87" s="2186"/>
      <c r="L87" s="2186"/>
      <c r="M87" s="2187"/>
    </row>
    <row r="88" spans="1:13">
      <c r="A88" s="2191" t="s">
        <v>1835</v>
      </c>
      <c r="B88" s="2187"/>
      <c r="C88" s="2209" t="e">
        <f>_25VH</f>
        <v>#VALUE!</v>
      </c>
      <c r="D88" s="2209"/>
      <c r="E88" s="2183" t="s">
        <v>1836</v>
      </c>
      <c r="F88" s="2184"/>
      <c r="G88" s="2184"/>
      <c r="H88" s="2184"/>
      <c r="I88" s="2185"/>
      <c r="J88" s="2186" t="s">
        <v>1837</v>
      </c>
      <c r="K88" s="2186"/>
      <c r="L88" s="2186"/>
      <c r="M88" s="2187"/>
    </row>
    <row r="89" spans="1:13">
      <c r="A89" s="2191" t="s">
        <v>1838</v>
      </c>
      <c r="B89" s="2187"/>
      <c r="C89" s="2186">
        <f>_SYNC_Source</f>
        <v>0</v>
      </c>
      <c r="D89" s="2186"/>
      <c r="E89" s="2183" t="s">
        <v>1839</v>
      </c>
      <c r="F89" s="2184"/>
      <c r="G89" s="2184"/>
      <c r="H89" s="2184"/>
      <c r="I89" s="2185"/>
      <c r="J89" s="2186" t="s">
        <v>1840</v>
      </c>
      <c r="K89" s="2186"/>
      <c r="L89" s="2186"/>
      <c r="M89" s="2187"/>
    </row>
    <row r="90" spans="1:13">
      <c r="A90" s="2191" t="s">
        <v>1841</v>
      </c>
      <c r="B90" s="2187"/>
      <c r="C90" s="2186" t="e">
        <f>_KS1M</f>
        <v>#VALUE!</v>
      </c>
      <c r="D90" s="2186"/>
      <c r="E90" s="2183" t="s">
        <v>1842</v>
      </c>
      <c r="F90" s="2184"/>
      <c r="G90" s="2184"/>
      <c r="H90" s="2184"/>
      <c r="I90" s="2185"/>
      <c r="J90" s="2186" t="s">
        <v>1843</v>
      </c>
      <c r="K90" s="2186"/>
      <c r="L90" s="2186"/>
      <c r="M90" s="2187"/>
    </row>
    <row r="91" spans="1:13">
      <c r="A91" s="2191" t="s">
        <v>1844</v>
      </c>
      <c r="B91" s="2187"/>
      <c r="C91" s="2186">
        <f>_KS1A</f>
        <v>0</v>
      </c>
      <c r="D91" s="2186"/>
      <c r="E91" s="2183" t="s">
        <v>1845</v>
      </c>
      <c r="F91" s="2184"/>
      <c r="G91" s="2184"/>
      <c r="H91" s="2184"/>
      <c r="I91" s="2185"/>
      <c r="J91" s="2186" t="s">
        <v>1846</v>
      </c>
      <c r="K91" s="2186"/>
      <c r="L91" s="2186"/>
      <c r="M91" s="2187"/>
    </row>
    <row r="92" spans="1:13">
      <c r="A92" s="2191" t="s">
        <v>1847</v>
      </c>
      <c r="B92" s="2187"/>
      <c r="C92" s="2186">
        <f>_SYNCS2</f>
        <v>0</v>
      </c>
      <c r="D92" s="2186"/>
      <c r="E92" s="2183" t="s">
        <v>1848</v>
      </c>
      <c r="F92" s="2184"/>
      <c r="G92" s="2184"/>
      <c r="H92" s="2184"/>
      <c r="I92" s="2185"/>
      <c r="J92" s="2186" t="s">
        <v>1849</v>
      </c>
      <c r="K92" s="2186"/>
      <c r="L92" s="2186"/>
      <c r="M92" s="2187"/>
    </row>
    <row r="93" spans="1:13">
      <c r="A93" s="2191" t="s">
        <v>1850</v>
      </c>
      <c r="B93" s="2187"/>
      <c r="C93" s="2186" t="e">
        <f>_KS2M</f>
        <v>#VALUE!</v>
      </c>
      <c r="D93" s="2186"/>
      <c r="E93" s="2183" t="s">
        <v>1851</v>
      </c>
      <c r="F93" s="2184"/>
      <c r="G93" s="2184"/>
      <c r="H93" s="2184"/>
      <c r="I93" s="2185"/>
      <c r="J93" s="2186" t="s">
        <v>1843</v>
      </c>
      <c r="K93" s="2186"/>
      <c r="L93" s="2186"/>
      <c r="M93" s="2187"/>
    </row>
    <row r="94" spans="1:13">
      <c r="A94" s="2191" t="s">
        <v>1852</v>
      </c>
      <c r="B94" s="2187"/>
      <c r="C94" s="2186">
        <f>_KS1A</f>
        <v>0</v>
      </c>
      <c r="D94" s="2186"/>
      <c r="E94" s="2183" t="s">
        <v>1853</v>
      </c>
      <c r="F94" s="2184"/>
      <c r="G94" s="2184"/>
      <c r="H94" s="2184"/>
      <c r="I94" s="2185"/>
      <c r="J94" s="2186" t="s">
        <v>1846</v>
      </c>
      <c r="K94" s="2186"/>
      <c r="L94" s="2186"/>
      <c r="M94" s="2187"/>
    </row>
    <row r="95" spans="1:13">
      <c r="A95" s="2191" t="s">
        <v>1854</v>
      </c>
      <c r="B95" s="2187"/>
      <c r="C95" s="2192" t="e">
        <f>_27LP</f>
        <v>#VALUE!</v>
      </c>
      <c r="D95" s="2192"/>
      <c r="E95" s="2183" t="s">
        <v>1855</v>
      </c>
      <c r="F95" s="2184"/>
      <c r="G95" s="2184"/>
      <c r="H95" s="2184"/>
      <c r="I95" s="2185"/>
      <c r="J95" s="2186" t="s">
        <v>1856</v>
      </c>
      <c r="K95" s="2186"/>
      <c r="L95" s="2186"/>
      <c r="M95" s="2187"/>
    </row>
    <row r="96" spans="1:13">
      <c r="A96" s="2191" t="s">
        <v>1857</v>
      </c>
      <c r="B96" s="2187"/>
      <c r="C96" s="2192" t="e">
        <f>_59LP</f>
        <v>#VALUE!</v>
      </c>
      <c r="D96" s="2192"/>
      <c r="E96" s="2183" t="s">
        <v>1858</v>
      </c>
      <c r="F96" s="2184"/>
      <c r="G96" s="2184"/>
      <c r="H96" s="2184"/>
      <c r="I96" s="2185"/>
      <c r="J96" s="2186" t="s">
        <v>1859</v>
      </c>
      <c r="K96" s="2186"/>
      <c r="L96" s="2186"/>
      <c r="M96" s="2187"/>
    </row>
    <row r="97" spans="1:15">
      <c r="A97" s="2191" t="s">
        <v>1860</v>
      </c>
      <c r="B97" s="2187"/>
      <c r="C97" s="2192" t="e">
        <f>_27BK1P</f>
        <v>#VALUE!</v>
      </c>
      <c r="D97" s="2192"/>
      <c r="E97" s="2183" t="s">
        <v>1861</v>
      </c>
      <c r="F97" s="2184"/>
      <c r="G97" s="2184"/>
      <c r="H97" s="2184"/>
      <c r="I97" s="2185"/>
      <c r="J97" s="2186" t="s">
        <v>1862</v>
      </c>
      <c r="K97" s="2186"/>
      <c r="L97" s="2186"/>
      <c r="M97" s="2187"/>
    </row>
    <row r="98" spans="1:15">
      <c r="A98" s="2191" t="s">
        <v>1863</v>
      </c>
      <c r="B98" s="2187"/>
      <c r="C98" s="2192" t="e">
        <f>_59BK1P</f>
        <v>#VALUE!</v>
      </c>
      <c r="D98" s="2192"/>
      <c r="E98" s="2183" t="s">
        <v>1864</v>
      </c>
      <c r="F98" s="2184"/>
      <c r="G98" s="2184"/>
      <c r="H98" s="2184"/>
      <c r="I98" s="2185"/>
      <c r="J98" s="2186" t="s">
        <v>1865</v>
      </c>
      <c r="K98" s="2186"/>
      <c r="L98" s="2186"/>
      <c r="M98" s="2187"/>
    </row>
    <row r="99" spans="1:15">
      <c r="A99" s="2191" t="s">
        <v>1866</v>
      </c>
      <c r="B99" s="2187"/>
      <c r="C99" s="2192" t="e">
        <f>_27BK2P</f>
        <v>#VALUE!</v>
      </c>
      <c r="D99" s="2192"/>
      <c r="E99" s="2183" t="s">
        <v>1867</v>
      </c>
      <c r="F99" s="2184"/>
      <c r="G99" s="2184"/>
      <c r="H99" s="2184"/>
      <c r="I99" s="2185"/>
      <c r="J99" s="2186" t="s">
        <v>1868</v>
      </c>
      <c r="K99" s="2186"/>
      <c r="L99" s="2186"/>
      <c r="M99" s="2187"/>
    </row>
    <row r="100" spans="1:15">
      <c r="A100" s="2191" t="s">
        <v>1869</v>
      </c>
      <c r="B100" s="2187"/>
      <c r="C100" s="2192" t="e">
        <f>_59BK2P</f>
        <v>#VALUE!</v>
      </c>
      <c r="D100" s="2192"/>
      <c r="E100" s="2183" t="s">
        <v>1870</v>
      </c>
      <c r="F100" s="2184"/>
      <c r="G100" s="2184"/>
      <c r="H100" s="2184"/>
      <c r="I100" s="2185"/>
      <c r="J100" s="2186" t="s">
        <v>1871</v>
      </c>
      <c r="K100" s="2186"/>
      <c r="L100" s="2186"/>
      <c r="M100" s="2187"/>
    </row>
    <row r="101" spans="1:15">
      <c r="A101" s="2191" t="s">
        <v>1872</v>
      </c>
      <c r="B101" s="2187"/>
      <c r="C101" s="2186">
        <f>_PCT01PU</f>
        <v>10</v>
      </c>
      <c r="D101" s="2186"/>
      <c r="E101" s="2183" t="s">
        <v>1873</v>
      </c>
      <c r="F101" s="2184"/>
      <c r="G101" s="2184"/>
      <c r="H101" s="2184"/>
      <c r="I101" s="2185"/>
      <c r="J101" s="2186" t="s">
        <v>1874</v>
      </c>
      <c r="K101" s="2186"/>
      <c r="L101" s="2186"/>
      <c r="M101" s="2187"/>
    </row>
    <row r="102" spans="1:15">
      <c r="A102" s="2191" t="s">
        <v>1347</v>
      </c>
      <c r="B102" s="2187"/>
      <c r="C102" s="2186" t="e">
        <f ca="1">_PMV05</f>
        <v>#DIV/0!</v>
      </c>
      <c r="D102" s="2186"/>
      <c r="E102" s="2183" t="s">
        <v>1875</v>
      </c>
      <c r="F102" s="2184"/>
      <c r="G102" s="2184"/>
      <c r="H102" s="2184"/>
      <c r="I102" s="2185"/>
      <c r="J102" s="2183" t="s">
        <v>1876</v>
      </c>
      <c r="K102" s="2184"/>
      <c r="L102" s="2184"/>
      <c r="M102" s="2185"/>
    </row>
    <row r="103" spans="1:15">
      <c r="A103" s="2191" t="s">
        <v>1334</v>
      </c>
      <c r="B103" s="2187"/>
      <c r="C103" s="2186">
        <f ca="1">_PMV06</f>
        <v>0</v>
      </c>
      <c r="D103" s="2186"/>
      <c r="E103" s="2183" t="s">
        <v>1877</v>
      </c>
      <c r="F103" s="2184"/>
      <c r="G103" s="2184"/>
      <c r="H103" s="2184"/>
      <c r="I103" s="2185"/>
      <c r="J103" s="2186" t="s">
        <v>1878</v>
      </c>
      <c r="K103" s="2186"/>
      <c r="L103" s="2186"/>
      <c r="M103" s="2187"/>
    </row>
    <row r="104" spans="1:15">
      <c r="A104" s="2191" t="s">
        <v>1879</v>
      </c>
      <c r="B104" s="2187"/>
      <c r="C104" s="2186">
        <f>_PSV10</f>
        <v>0</v>
      </c>
      <c r="D104" s="2186"/>
      <c r="E104" s="2183" t="s">
        <v>1880</v>
      </c>
      <c r="F104" s="2184"/>
      <c r="G104" s="2184"/>
      <c r="H104" s="2184"/>
      <c r="I104" s="2185"/>
      <c r="J104" s="2186" t="s">
        <v>1881</v>
      </c>
      <c r="K104" s="2186"/>
      <c r="L104" s="2186"/>
      <c r="M104" s="2187"/>
    </row>
    <row r="105" spans="1:15">
      <c r="A105" s="2191" t="s">
        <v>1882</v>
      </c>
      <c r="B105" s="2187"/>
      <c r="C105" s="2210">
        <v>0</v>
      </c>
      <c r="D105" s="2211"/>
      <c r="E105" s="2183" t="s">
        <v>1883</v>
      </c>
      <c r="F105" s="2184"/>
      <c r="G105" s="2184"/>
      <c r="H105" s="2184"/>
      <c r="I105" s="2185"/>
      <c r="J105" s="2186" t="s">
        <v>1884</v>
      </c>
      <c r="K105" s="2186"/>
      <c r="L105" s="2186"/>
      <c r="M105" s="2187"/>
    </row>
    <row r="106" spans="1:15">
      <c r="A106" s="2191" t="s">
        <v>1885</v>
      </c>
      <c r="B106" s="2187"/>
      <c r="C106" s="2186" t="e">
        <f ca="1">_PMV10</f>
        <v>#DIV/0!</v>
      </c>
      <c r="D106" s="2186"/>
      <c r="E106" s="2183" t="s">
        <v>1886</v>
      </c>
      <c r="F106" s="2184"/>
      <c r="G106" s="2184"/>
      <c r="H106" s="2184"/>
      <c r="I106" s="2185"/>
      <c r="J106" s="2186" t="s">
        <v>1887</v>
      </c>
      <c r="K106" s="2186"/>
      <c r="L106" s="2186"/>
      <c r="M106" s="2187"/>
    </row>
    <row r="107" spans="1:15">
      <c r="A107" s="2191" t="s">
        <v>1888</v>
      </c>
      <c r="B107" s="2187"/>
      <c r="C107" s="2186">
        <f>_PMV11</f>
        <v>10</v>
      </c>
      <c r="D107" s="2186"/>
      <c r="E107" s="2183" t="s">
        <v>1889</v>
      </c>
      <c r="F107" s="2184"/>
      <c r="G107" s="2184"/>
      <c r="H107" s="2184"/>
      <c r="I107" s="2185"/>
      <c r="J107" s="2186" t="s">
        <v>1890</v>
      </c>
      <c r="K107" s="2186"/>
      <c r="L107" s="2186"/>
      <c r="M107" s="2187"/>
    </row>
    <row r="108" spans="1:15">
      <c r="A108" s="2191" t="s">
        <v>1404</v>
      </c>
      <c r="B108" s="2187"/>
      <c r="C108" s="2186" t="e">
        <f ca="1">_PMV13</f>
        <v>#DIV/0!</v>
      </c>
      <c r="D108" s="2186"/>
      <c r="E108" s="2183" t="s">
        <v>1891</v>
      </c>
      <c r="F108" s="2184"/>
      <c r="G108" s="2184"/>
      <c r="H108" s="2184"/>
      <c r="I108" s="2185"/>
      <c r="J108" s="2186" t="s">
        <v>1892</v>
      </c>
      <c r="K108" s="2186"/>
      <c r="L108" s="2186"/>
      <c r="M108" s="2187"/>
    </row>
    <row r="109" spans="1:15">
      <c r="A109" s="2191" t="s">
        <v>1896</v>
      </c>
      <c r="B109" s="2187"/>
      <c r="C109" s="2186">
        <f>_PCT16PU</f>
        <v>40</v>
      </c>
      <c r="D109" s="2186"/>
      <c r="E109" s="2183" t="s">
        <v>1897</v>
      </c>
      <c r="F109" s="2184"/>
      <c r="G109" s="2184"/>
      <c r="H109" s="2184"/>
      <c r="I109" s="2185"/>
      <c r="J109" s="2186" t="s">
        <v>1898</v>
      </c>
      <c r="K109" s="2186"/>
      <c r="L109" s="2186"/>
      <c r="M109" s="2187"/>
    </row>
    <row r="110" spans="1:15">
      <c r="A110" s="2191" t="s">
        <v>1902</v>
      </c>
      <c r="B110" s="2187"/>
      <c r="C110" s="2186">
        <f>_PSV58</f>
        <v>0</v>
      </c>
      <c r="D110" s="2186"/>
      <c r="E110" s="2183" t="s">
        <v>1903</v>
      </c>
      <c r="F110" s="2184"/>
      <c r="G110" s="2184"/>
      <c r="H110" s="2184"/>
      <c r="I110" s="2185"/>
      <c r="J110" s="2186" t="s">
        <v>1904</v>
      </c>
      <c r="K110" s="2186"/>
      <c r="L110" s="2186"/>
      <c r="M110" s="2187"/>
    </row>
    <row r="111" spans="1:15">
      <c r="A111" s="2191" t="s">
        <v>1905</v>
      </c>
      <c r="B111" s="2187"/>
      <c r="C111" s="2214" t="str">
        <f>_ASV041_421</f>
        <v>FLOC &gt; 0.000000 AND FLOC &lt; 0 # START FLOC</v>
      </c>
      <c r="D111" s="2215"/>
      <c r="E111" s="2183" t="s">
        <v>1906</v>
      </c>
      <c r="F111" s="2184"/>
      <c r="G111" s="2184"/>
      <c r="H111" s="2184"/>
      <c r="I111" s="2185"/>
      <c r="J111" s="2186" t="s">
        <v>1907</v>
      </c>
      <c r="K111" s="2186"/>
      <c r="L111" s="2186"/>
      <c r="M111" s="2187"/>
      <c r="O111" s="670" t="s">
        <v>2078</v>
      </c>
    </row>
    <row r="112" spans="1:15">
      <c r="A112" s="2191" t="s">
        <v>1909</v>
      </c>
      <c r="B112" s="2187"/>
      <c r="C112" s="2214" t="str">
        <f>_AMV004</f>
        <v>M * PTRZ *1000 # SYNC SOURCE  VOLTAGE</v>
      </c>
      <c r="D112" s="2215"/>
      <c r="E112" s="2183" t="s">
        <v>1910</v>
      </c>
      <c r="F112" s="2184"/>
      <c r="G112" s="2184"/>
      <c r="H112" s="2184"/>
      <c r="I112" s="2185"/>
      <c r="J112" s="2186" t="s">
        <v>1911</v>
      </c>
      <c r="K112" s="2186"/>
      <c r="L112" s="2186"/>
      <c r="M112" s="2187"/>
      <c r="O112" s="670" t="s">
        <v>1909</v>
      </c>
    </row>
    <row r="113" spans="1:13">
      <c r="A113" s="2191" t="s">
        <v>2079</v>
      </c>
      <c r="B113" s="2187"/>
      <c r="C113" s="2214" t="e">
        <f>_OUT105</f>
        <v>#VALUE!</v>
      </c>
      <c r="D113" s="2215"/>
      <c r="E113" s="2183" t="s">
        <v>174</v>
      </c>
      <c r="F113" s="2184"/>
      <c r="G113" s="2184"/>
      <c r="H113" s="2184"/>
      <c r="I113" s="2185"/>
      <c r="J113" s="2186" t="s">
        <v>174</v>
      </c>
      <c r="K113" s="2186"/>
      <c r="L113" s="2186"/>
      <c r="M113" s="2187"/>
    </row>
    <row r="114" spans="1:13">
      <c r="A114" s="2191"/>
      <c r="B114" s="2187"/>
      <c r="C114" s="2186"/>
      <c r="D114" s="2186"/>
      <c r="E114" s="2183"/>
      <c r="F114" s="2184"/>
      <c r="G114" s="2184"/>
      <c r="H114" s="2184"/>
      <c r="I114" s="2185"/>
      <c r="J114" s="2186"/>
      <c r="K114" s="2186"/>
      <c r="L114" s="2186"/>
      <c r="M114" s="2187"/>
    </row>
    <row r="115" spans="1:13" ht="13.8" thickBot="1">
      <c r="A115" s="2216"/>
      <c r="B115" s="2217"/>
      <c r="C115" s="2186"/>
      <c r="D115" s="2186"/>
      <c r="E115" s="2188"/>
      <c r="F115" s="2189"/>
      <c r="G115" s="2189"/>
      <c r="H115" s="2189"/>
      <c r="I115" s="2190"/>
      <c r="J115" s="2186"/>
      <c r="K115" s="2186"/>
      <c r="L115" s="2186"/>
      <c r="M115" s="2187"/>
    </row>
  </sheetData>
  <sheetProtection algorithmName="SHA-512" hashValue="nr+tX4HZlJDi4WgwW5TimMhjkrsnBuzW9RX6ep1vCRCGrgdKMcAGX3PYln0ASM/QegD+2pi5R8OFN7FYnkMpOA==" saltValue="KZF4LBjncO7/e46cuwfX/Q==" spinCount="100000" sheet="1" objects="1" scenarios="1"/>
  <mergeCells count="431">
    <mergeCell ref="C13:D13"/>
    <mergeCell ref="E13:I13"/>
    <mergeCell ref="J13:M13"/>
    <mergeCell ref="A16:B16"/>
    <mergeCell ref="C16:D16"/>
    <mergeCell ref="E16:I16"/>
    <mergeCell ref="J16:M16"/>
    <mergeCell ref="A17:B17"/>
    <mergeCell ref="C17:D17"/>
    <mergeCell ref="E17:I17"/>
    <mergeCell ref="J17:M17"/>
    <mergeCell ref="A14:B14"/>
    <mergeCell ref="C14:D14"/>
    <mergeCell ref="E14:I14"/>
    <mergeCell ref="J14:M14"/>
    <mergeCell ref="A19:B19"/>
    <mergeCell ref="C19:D19"/>
    <mergeCell ref="E19:I19"/>
    <mergeCell ref="J19:M19"/>
    <mergeCell ref="A1:C1"/>
    <mergeCell ref="G1:I1"/>
    <mergeCell ref="A2:C2"/>
    <mergeCell ref="G2:I2"/>
    <mergeCell ref="A4:M6"/>
    <mergeCell ref="A9:B9"/>
    <mergeCell ref="C9:D9"/>
    <mergeCell ref="E9:I9"/>
    <mergeCell ref="J9:M9"/>
    <mergeCell ref="A7:B7"/>
    <mergeCell ref="C7:D7"/>
    <mergeCell ref="A11:B11"/>
    <mergeCell ref="A12:B12"/>
    <mergeCell ref="C11:D11"/>
    <mergeCell ref="C12:D12"/>
    <mergeCell ref="A10:B10"/>
    <mergeCell ref="C10:D10"/>
    <mergeCell ref="E10:I10"/>
    <mergeCell ref="J10:M10"/>
    <mergeCell ref="A13:B13"/>
    <mergeCell ref="A22:B22"/>
    <mergeCell ref="C22:D22"/>
    <mergeCell ref="E22:I22"/>
    <mergeCell ref="J22:M22"/>
    <mergeCell ref="A23:B23"/>
    <mergeCell ref="C23:D23"/>
    <mergeCell ref="E23:I23"/>
    <mergeCell ref="J23:M23"/>
    <mergeCell ref="A15:B15"/>
    <mergeCell ref="C15:D15"/>
    <mergeCell ref="E15:I15"/>
    <mergeCell ref="J15:M15"/>
    <mergeCell ref="A20:B20"/>
    <mergeCell ref="C20:D20"/>
    <mergeCell ref="E20:I20"/>
    <mergeCell ref="J20:M20"/>
    <mergeCell ref="A21:B21"/>
    <mergeCell ref="C21:D21"/>
    <mergeCell ref="E21:I21"/>
    <mergeCell ref="J21:M21"/>
    <mergeCell ref="A18:B18"/>
    <mergeCell ref="C18:D18"/>
    <mergeCell ref="E18:I18"/>
    <mergeCell ref="J18:M18"/>
    <mergeCell ref="E29:I29"/>
    <mergeCell ref="J29:M29"/>
    <mergeCell ref="A30:B30"/>
    <mergeCell ref="C30:D30"/>
    <mergeCell ref="E30:I30"/>
    <mergeCell ref="J30:M30"/>
    <mergeCell ref="A25:B25"/>
    <mergeCell ref="C25:D25"/>
    <mergeCell ref="E25:I25"/>
    <mergeCell ref="J25:M25"/>
    <mergeCell ref="A26:B26"/>
    <mergeCell ref="C26:D26"/>
    <mergeCell ref="E26:I26"/>
    <mergeCell ref="J26:M26"/>
    <mergeCell ref="A33:B33"/>
    <mergeCell ref="C33:D33"/>
    <mergeCell ref="E33:I33"/>
    <mergeCell ref="J33:M33"/>
    <mergeCell ref="A34:B34"/>
    <mergeCell ref="C34:D34"/>
    <mergeCell ref="E34:I34"/>
    <mergeCell ref="J34:M34"/>
    <mergeCell ref="A27:B27"/>
    <mergeCell ref="C27:D27"/>
    <mergeCell ref="E27:I27"/>
    <mergeCell ref="J27:M27"/>
    <mergeCell ref="A32:B32"/>
    <mergeCell ref="C32:D32"/>
    <mergeCell ref="E32:I32"/>
    <mergeCell ref="J32:M32"/>
    <mergeCell ref="E28:I28"/>
    <mergeCell ref="J28:M28"/>
    <mergeCell ref="A31:B31"/>
    <mergeCell ref="C31:D31"/>
    <mergeCell ref="E31:I31"/>
    <mergeCell ref="J31:M31"/>
    <mergeCell ref="A29:B29"/>
    <mergeCell ref="C29:D29"/>
    <mergeCell ref="A37:B37"/>
    <mergeCell ref="C37:D37"/>
    <mergeCell ref="E37:I37"/>
    <mergeCell ref="J37:M37"/>
    <mergeCell ref="A38:B38"/>
    <mergeCell ref="C38:D38"/>
    <mergeCell ref="E38:I38"/>
    <mergeCell ref="J38:M38"/>
    <mergeCell ref="A35:B35"/>
    <mergeCell ref="C35:D35"/>
    <mergeCell ref="E35:I35"/>
    <mergeCell ref="J35:M35"/>
    <mergeCell ref="A36:B36"/>
    <mergeCell ref="C36:D36"/>
    <mergeCell ref="E36:I36"/>
    <mergeCell ref="J36:M36"/>
    <mergeCell ref="A41:B41"/>
    <mergeCell ref="C41:D41"/>
    <mergeCell ref="E41:I41"/>
    <mergeCell ref="J41:M41"/>
    <mergeCell ref="A42:B42"/>
    <mergeCell ref="C42:D42"/>
    <mergeCell ref="E42:I42"/>
    <mergeCell ref="J42:M42"/>
    <mergeCell ref="A39:B39"/>
    <mergeCell ref="C39:D39"/>
    <mergeCell ref="E39:I39"/>
    <mergeCell ref="J39:M39"/>
    <mergeCell ref="A40:B40"/>
    <mergeCell ref="C40:D40"/>
    <mergeCell ref="E40:I40"/>
    <mergeCell ref="J40:M40"/>
    <mergeCell ref="A45:B45"/>
    <mergeCell ref="C45:D45"/>
    <mergeCell ref="E45:I45"/>
    <mergeCell ref="J45:M45"/>
    <mergeCell ref="A46:B46"/>
    <mergeCell ref="C46:D46"/>
    <mergeCell ref="E46:I46"/>
    <mergeCell ref="J46:M46"/>
    <mergeCell ref="A43:B43"/>
    <mergeCell ref="C43:D43"/>
    <mergeCell ref="E43:I43"/>
    <mergeCell ref="J43:M43"/>
    <mergeCell ref="A44:B44"/>
    <mergeCell ref="C44:D44"/>
    <mergeCell ref="E44:I44"/>
    <mergeCell ref="J44:M44"/>
    <mergeCell ref="A49:B49"/>
    <mergeCell ref="C49:D49"/>
    <mergeCell ref="E49:I49"/>
    <mergeCell ref="J49:M49"/>
    <mergeCell ref="A50:B50"/>
    <mergeCell ref="C50:D50"/>
    <mergeCell ref="E50:I50"/>
    <mergeCell ref="J50:M50"/>
    <mergeCell ref="A47:B47"/>
    <mergeCell ref="C47:D47"/>
    <mergeCell ref="E47:I47"/>
    <mergeCell ref="J47:M47"/>
    <mergeCell ref="A48:B48"/>
    <mergeCell ref="C48:D48"/>
    <mergeCell ref="E48:I48"/>
    <mergeCell ref="J48:M48"/>
    <mergeCell ref="A53:B53"/>
    <mergeCell ref="C53:D53"/>
    <mergeCell ref="E53:I53"/>
    <mergeCell ref="J53:M53"/>
    <mergeCell ref="A54:B54"/>
    <mergeCell ref="C54:D54"/>
    <mergeCell ref="E54:I54"/>
    <mergeCell ref="J54:M54"/>
    <mergeCell ref="A51:B51"/>
    <mergeCell ref="C51:D51"/>
    <mergeCell ref="E51:I51"/>
    <mergeCell ref="J51:M51"/>
    <mergeCell ref="A52:B52"/>
    <mergeCell ref="C52:D52"/>
    <mergeCell ref="E52:I52"/>
    <mergeCell ref="J52:M52"/>
    <mergeCell ref="A57:B57"/>
    <mergeCell ref="C57:D57"/>
    <mergeCell ref="E57:I57"/>
    <mergeCell ref="J57:M57"/>
    <mergeCell ref="A58:B58"/>
    <mergeCell ref="C58:D58"/>
    <mergeCell ref="E58:I58"/>
    <mergeCell ref="J58:M58"/>
    <mergeCell ref="A55:B55"/>
    <mergeCell ref="C55:D55"/>
    <mergeCell ref="E55:I55"/>
    <mergeCell ref="J55:M55"/>
    <mergeCell ref="A56:B56"/>
    <mergeCell ref="C56:D56"/>
    <mergeCell ref="E56:I56"/>
    <mergeCell ref="J56:M56"/>
    <mergeCell ref="A61:B61"/>
    <mergeCell ref="C61:D61"/>
    <mergeCell ref="E61:I61"/>
    <mergeCell ref="J61:M61"/>
    <mergeCell ref="A62:B62"/>
    <mergeCell ref="C62:D62"/>
    <mergeCell ref="E62:I62"/>
    <mergeCell ref="J62:M62"/>
    <mergeCell ref="A59:B59"/>
    <mergeCell ref="C59:D59"/>
    <mergeCell ref="E59:I59"/>
    <mergeCell ref="J59:M59"/>
    <mergeCell ref="A60:B60"/>
    <mergeCell ref="C60:D60"/>
    <mergeCell ref="E60:I60"/>
    <mergeCell ref="J60:M60"/>
    <mergeCell ref="A65:B65"/>
    <mergeCell ref="C65:D65"/>
    <mergeCell ref="E65:I65"/>
    <mergeCell ref="J65:M65"/>
    <mergeCell ref="A66:B66"/>
    <mergeCell ref="C66:D66"/>
    <mergeCell ref="E66:I66"/>
    <mergeCell ref="J66:M66"/>
    <mergeCell ref="A63:B63"/>
    <mergeCell ref="C63:D63"/>
    <mergeCell ref="E63:I63"/>
    <mergeCell ref="J63:M63"/>
    <mergeCell ref="A64:B64"/>
    <mergeCell ref="C64:D64"/>
    <mergeCell ref="E64:I64"/>
    <mergeCell ref="J64:M64"/>
    <mergeCell ref="A69:B69"/>
    <mergeCell ref="C69:D69"/>
    <mergeCell ref="E69:I69"/>
    <mergeCell ref="J69:M69"/>
    <mergeCell ref="A70:B70"/>
    <mergeCell ref="C70:D70"/>
    <mergeCell ref="E70:I70"/>
    <mergeCell ref="J70:M70"/>
    <mergeCell ref="A67:B67"/>
    <mergeCell ref="C67:D67"/>
    <mergeCell ref="E67:I67"/>
    <mergeCell ref="J67:M67"/>
    <mergeCell ref="A68:B68"/>
    <mergeCell ref="C68:D68"/>
    <mergeCell ref="E68:I68"/>
    <mergeCell ref="J68:M68"/>
    <mergeCell ref="A73:B73"/>
    <mergeCell ref="C73:D73"/>
    <mergeCell ref="E73:I73"/>
    <mergeCell ref="J73:M73"/>
    <mergeCell ref="A74:B74"/>
    <mergeCell ref="C74:D74"/>
    <mergeCell ref="E74:I74"/>
    <mergeCell ref="J74:M74"/>
    <mergeCell ref="A71:B71"/>
    <mergeCell ref="C71:D71"/>
    <mergeCell ref="E71:I71"/>
    <mergeCell ref="J71:M71"/>
    <mergeCell ref="A72:B72"/>
    <mergeCell ref="C72:D72"/>
    <mergeCell ref="E72:I72"/>
    <mergeCell ref="J72:M72"/>
    <mergeCell ref="A77:B77"/>
    <mergeCell ref="C77:D77"/>
    <mergeCell ref="E77:I77"/>
    <mergeCell ref="J77:M77"/>
    <mergeCell ref="A78:B78"/>
    <mergeCell ref="C78:D78"/>
    <mergeCell ref="E78:I78"/>
    <mergeCell ref="J78:M78"/>
    <mergeCell ref="A75:B75"/>
    <mergeCell ref="C75:D75"/>
    <mergeCell ref="E75:I75"/>
    <mergeCell ref="J75:M75"/>
    <mergeCell ref="A76:B76"/>
    <mergeCell ref="C76:D76"/>
    <mergeCell ref="E76:I76"/>
    <mergeCell ref="J76:M76"/>
    <mergeCell ref="A81:B81"/>
    <mergeCell ref="C81:D81"/>
    <mergeCell ref="E81:I81"/>
    <mergeCell ref="J81:M81"/>
    <mergeCell ref="A82:B82"/>
    <mergeCell ref="C82:D82"/>
    <mergeCell ref="E82:I82"/>
    <mergeCell ref="J82:M82"/>
    <mergeCell ref="A79:B79"/>
    <mergeCell ref="C79:D79"/>
    <mergeCell ref="E79:I79"/>
    <mergeCell ref="J79:M79"/>
    <mergeCell ref="A80:B80"/>
    <mergeCell ref="C80:D80"/>
    <mergeCell ref="E80:I80"/>
    <mergeCell ref="J80:M80"/>
    <mergeCell ref="A85:B85"/>
    <mergeCell ref="C85:D85"/>
    <mergeCell ref="E85:I85"/>
    <mergeCell ref="J85:M85"/>
    <mergeCell ref="A86:B86"/>
    <mergeCell ref="C86:D86"/>
    <mergeCell ref="E86:I86"/>
    <mergeCell ref="J86:M86"/>
    <mergeCell ref="A83:B83"/>
    <mergeCell ref="C83:D83"/>
    <mergeCell ref="E83:I83"/>
    <mergeCell ref="J83:M83"/>
    <mergeCell ref="A84:B84"/>
    <mergeCell ref="C84:D84"/>
    <mergeCell ref="E84:I84"/>
    <mergeCell ref="J84:M84"/>
    <mergeCell ref="A89:B89"/>
    <mergeCell ref="C89:D89"/>
    <mergeCell ref="E89:I89"/>
    <mergeCell ref="J89:M89"/>
    <mergeCell ref="A90:B90"/>
    <mergeCell ref="C90:D90"/>
    <mergeCell ref="E90:I90"/>
    <mergeCell ref="J90:M90"/>
    <mergeCell ref="A87:B87"/>
    <mergeCell ref="C87:D87"/>
    <mergeCell ref="E87:I87"/>
    <mergeCell ref="J87:M87"/>
    <mergeCell ref="A88:B88"/>
    <mergeCell ref="C88:D88"/>
    <mergeCell ref="E88:I88"/>
    <mergeCell ref="J88:M88"/>
    <mergeCell ref="A93:B93"/>
    <mergeCell ref="C93:D93"/>
    <mergeCell ref="E93:I93"/>
    <mergeCell ref="J93:M93"/>
    <mergeCell ref="A94:B94"/>
    <mergeCell ref="C94:D94"/>
    <mergeCell ref="E94:I94"/>
    <mergeCell ref="J94:M94"/>
    <mergeCell ref="A91:B91"/>
    <mergeCell ref="C91:D91"/>
    <mergeCell ref="E91:I91"/>
    <mergeCell ref="J91:M91"/>
    <mergeCell ref="A92:B92"/>
    <mergeCell ref="C92:D92"/>
    <mergeCell ref="E92:I92"/>
    <mergeCell ref="J92:M92"/>
    <mergeCell ref="A97:B97"/>
    <mergeCell ref="C97:D97"/>
    <mergeCell ref="E97:I97"/>
    <mergeCell ref="J97:M97"/>
    <mergeCell ref="A98:B98"/>
    <mergeCell ref="C98:D98"/>
    <mergeCell ref="E98:I98"/>
    <mergeCell ref="J98:M98"/>
    <mergeCell ref="A95:B95"/>
    <mergeCell ref="C95:D95"/>
    <mergeCell ref="E95:I95"/>
    <mergeCell ref="J95:M95"/>
    <mergeCell ref="A96:B96"/>
    <mergeCell ref="C96:D96"/>
    <mergeCell ref="E96:I96"/>
    <mergeCell ref="J96:M96"/>
    <mergeCell ref="A101:B101"/>
    <mergeCell ref="C101:D101"/>
    <mergeCell ref="E101:I101"/>
    <mergeCell ref="J101:M101"/>
    <mergeCell ref="A102:B102"/>
    <mergeCell ref="C102:D102"/>
    <mergeCell ref="E102:I102"/>
    <mergeCell ref="J102:M102"/>
    <mergeCell ref="A99:B99"/>
    <mergeCell ref="C99:D99"/>
    <mergeCell ref="E99:I99"/>
    <mergeCell ref="J99:M99"/>
    <mergeCell ref="A100:B100"/>
    <mergeCell ref="C100:D100"/>
    <mergeCell ref="E100:I100"/>
    <mergeCell ref="J100:M100"/>
    <mergeCell ref="A110:B110"/>
    <mergeCell ref="C110:D110"/>
    <mergeCell ref="E110:I110"/>
    <mergeCell ref="J110:M110"/>
    <mergeCell ref="E106:I106"/>
    <mergeCell ref="J106:M106"/>
    <mergeCell ref="A103:B103"/>
    <mergeCell ref="C103:D103"/>
    <mergeCell ref="E103:I103"/>
    <mergeCell ref="J103:M103"/>
    <mergeCell ref="A104:B104"/>
    <mergeCell ref="C104:D104"/>
    <mergeCell ref="E104:I104"/>
    <mergeCell ref="J104:M104"/>
    <mergeCell ref="A109:B109"/>
    <mergeCell ref="C109:D109"/>
    <mergeCell ref="E109:I109"/>
    <mergeCell ref="J109:M109"/>
    <mergeCell ref="A115:B115"/>
    <mergeCell ref="C115:D115"/>
    <mergeCell ref="E115:I115"/>
    <mergeCell ref="J115:M115"/>
    <mergeCell ref="A114:B114"/>
    <mergeCell ref="C114:D114"/>
    <mergeCell ref="E114:I114"/>
    <mergeCell ref="J114:M114"/>
    <mergeCell ref="A111:B111"/>
    <mergeCell ref="C111:D111"/>
    <mergeCell ref="E111:I111"/>
    <mergeCell ref="J111:M111"/>
    <mergeCell ref="A112:B112"/>
    <mergeCell ref="C112:D112"/>
    <mergeCell ref="E112:I112"/>
    <mergeCell ref="J112:M112"/>
    <mergeCell ref="A24:B24"/>
    <mergeCell ref="C24:D24"/>
    <mergeCell ref="E24:I24"/>
    <mergeCell ref="J24:M24"/>
    <mergeCell ref="A28:B28"/>
    <mergeCell ref="C28:D28"/>
    <mergeCell ref="A113:B113"/>
    <mergeCell ref="C113:D113"/>
    <mergeCell ref="E113:I113"/>
    <mergeCell ref="J113:M113"/>
    <mergeCell ref="A105:B105"/>
    <mergeCell ref="C105:D105"/>
    <mergeCell ref="E105:I105"/>
    <mergeCell ref="J105:M105"/>
    <mergeCell ref="A106:B106"/>
    <mergeCell ref="C106:D106"/>
    <mergeCell ref="A107:B107"/>
    <mergeCell ref="C107:D107"/>
    <mergeCell ref="E107:I107"/>
    <mergeCell ref="J107:M107"/>
    <mergeCell ref="A108:B108"/>
    <mergeCell ref="C108:D108"/>
    <mergeCell ref="E108:I108"/>
    <mergeCell ref="J108:M108"/>
  </mergeCells>
  <pageMargins left="0.7" right="0.7" top="0.75" bottom="0.75" header="0.3" footer="0.3"/>
  <pageSetup orientation="portrait" r:id="rId1"/>
  <drawing r:id="rId2"/>
  <legacyDrawing r:id="rId3"/>
  <controls>
    <mc:AlternateContent xmlns:mc="http://schemas.openxmlformats.org/markup-compatibility/2006">
      <mc:Choice Requires="x14">
        <control shapeId="63489" r:id="rId4" name="BID1_SEL411L_btn">
          <controlPr defaultSize="0" autoLine="0" autoPict="0" r:id="rId5">
            <anchor moveWithCells="1">
              <from>
                <xdr:col>0</xdr:col>
                <xdr:colOff>0</xdr:colOff>
                <xdr:row>6</xdr:row>
                <xdr:rowOff>30480</xdr:rowOff>
              </from>
              <to>
                <xdr:col>1</xdr:col>
                <xdr:colOff>533400</xdr:colOff>
                <xdr:row>6</xdr:row>
                <xdr:rowOff>342900</xdr:rowOff>
              </to>
            </anchor>
          </controlPr>
        </control>
      </mc:Choice>
      <mc:Fallback>
        <control shapeId="63489" r:id="rId4" name="BID1_SEL411L_btn"/>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N195"/>
  <sheetViews>
    <sheetView showGridLines="0" zoomScaleNormal="100" workbookViewId="0">
      <selection activeCell="C8" sqref="C8:D8"/>
    </sheetView>
  </sheetViews>
  <sheetFormatPr defaultColWidth="9.109375" defaultRowHeight="13.2"/>
  <cols>
    <col min="1" max="1" width="25" customWidth="1"/>
    <col min="3" max="3" width="11.6640625" customWidth="1"/>
    <col min="4" max="4" width="16.6640625" customWidth="1"/>
  </cols>
  <sheetData>
    <row r="1" spans="1:14">
      <c r="A1" s="1505">
        <f>'1) Data Entry'!Relay_Location</f>
        <v>0</v>
      </c>
      <c r="B1" s="1459"/>
      <c r="C1" s="1460"/>
      <c r="D1" s="364"/>
      <c r="E1" s="1217">
        <f>'1) Data Entry'!K3</f>
        <v>0</v>
      </c>
      <c r="G1" s="1505">
        <f>'1) Data Entry'!Remote_Location</f>
        <v>0</v>
      </c>
      <c r="H1" s="1459"/>
      <c r="I1" s="1460"/>
      <c r="L1" s="587" t="s">
        <v>3</v>
      </c>
      <c r="M1" s="1218">
        <f>'1) Data Entry'!M1</f>
        <v>0</v>
      </c>
      <c r="N1" s="21"/>
    </row>
    <row r="2" spans="1:14">
      <c r="A2" s="2200" t="s">
        <v>4</v>
      </c>
      <c r="B2" s="2200"/>
      <c r="C2" s="2200"/>
      <c r="D2" s="28"/>
      <c r="E2" s="579" t="s">
        <v>5</v>
      </c>
      <c r="F2" s="26"/>
      <c r="G2" s="2200" t="s">
        <v>6</v>
      </c>
      <c r="H2" s="2200"/>
      <c r="I2" s="2200"/>
      <c r="J2" s="1123"/>
      <c r="K2" s="26"/>
      <c r="L2" s="587" t="s">
        <v>7</v>
      </c>
      <c r="M2" s="1219">
        <f>'1) Data Entry'!Calc_By</f>
        <v>0</v>
      </c>
      <c r="N2" s="30"/>
    </row>
    <row r="3" spans="1:14">
      <c r="A3" s="896"/>
      <c r="B3" s="25"/>
      <c r="C3" s="28"/>
      <c r="D3" s="28"/>
      <c r="E3" s="26"/>
      <c r="F3" s="26"/>
      <c r="G3" s="25"/>
      <c r="H3" s="28"/>
      <c r="I3" s="28"/>
      <c r="J3" s="1123"/>
      <c r="K3" s="26"/>
      <c r="L3" s="587" t="s">
        <v>8</v>
      </c>
      <c r="M3" s="1219">
        <f>'1) Data Entry'!Checked_By</f>
        <v>0</v>
      </c>
      <c r="N3" s="30"/>
    </row>
    <row r="4" spans="1:14" ht="12.75" customHeight="1">
      <c r="A4" s="2218" t="s">
        <v>2080</v>
      </c>
      <c r="B4" s="2218"/>
      <c r="C4" s="2218"/>
      <c r="D4" s="2218"/>
      <c r="E4" s="2218"/>
      <c r="F4" s="2218"/>
      <c r="G4" s="2218"/>
      <c r="H4" s="2218"/>
      <c r="I4" s="2218"/>
      <c r="J4" s="2218"/>
      <c r="K4" s="2218"/>
      <c r="L4" s="2218"/>
      <c r="M4" s="2218"/>
      <c r="N4" s="30"/>
    </row>
    <row r="5" spans="1:14" ht="20.25" customHeight="1">
      <c r="A5" s="2218"/>
      <c r="B5" s="2218"/>
      <c r="C5" s="2218"/>
      <c r="D5" s="2218"/>
      <c r="E5" s="2218"/>
      <c r="F5" s="2218"/>
      <c r="G5" s="2218"/>
      <c r="H5" s="2218"/>
      <c r="I5" s="2218"/>
      <c r="J5" s="2218"/>
      <c r="K5" s="2218"/>
      <c r="L5" s="2218"/>
      <c r="M5" s="2218"/>
      <c r="N5" s="30"/>
    </row>
    <row r="6" spans="1:14" ht="42" customHeight="1" thickBot="1">
      <c r="A6" s="2219"/>
      <c r="B6" s="2219"/>
      <c r="C6" s="2219"/>
      <c r="D6" s="2219"/>
      <c r="E6" s="2219"/>
      <c r="F6" s="2219"/>
      <c r="G6" s="2219"/>
      <c r="H6" s="2219"/>
      <c r="I6" s="2219"/>
      <c r="J6" s="2219"/>
      <c r="K6" s="2219"/>
      <c r="L6" s="2219"/>
      <c r="M6" s="2219"/>
      <c r="N6" s="30"/>
    </row>
    <row r="7" spans="1:14" ht="13.8" thickBot="1">
      <c r="A7" s="2193" t="s">
        <v>1655</v>
      </c>
      <c r="B7" s="2194"/>
      <c r="C7" s="2195" t="s">
        <v>1656</v>
      </c>
      <c r="D7" s="2195"/>
      <c r="E7" s="2201" t="s">
        <v>1657</v>
      </c>
      <c r="F7" s="2202"/>
      <c r="G7" s="2202"/>
      <c r="H7" s="2202"/>
      <c r="I7" s="2203"/>
      <c r="J7" s="2195" t="s">
        <v>1658</v>
      </c>
      <c r="K7" s="2195"/>
      <c r="L7" s="2195"/>
      <c r="M7" s="2194"/>
    </row>
    <row r="8" spans="1:14">
      <c r="A8" s="2196" t="s">
        <v>1659</v>
      </c>
      <c r="B8" s="2197"/>
      <c r="C8" s="2198" t="str">
        <f>MID('1) Data Entry'!G3&amp;","&amp;'1) Data Entry'!E16&amp;","&amp;'1) Data Entry'!M3&amp;","&amp;'1) Data Entry'!K3,1,39)</f>
        <v>,,,</v>
      </c>
      <c r="D8" s="2199"/>
      <c r="E8" s="2204" t="s">
        <v>1660</v>
      </c>
      <c r="F8" s="2205"/>
      <c r="G8" s="2205"/>
      <c r="H8" s="2205"/>
      <c r="I8" s="2206"/>
      <c r="J8" s="2207"/>
      <c r="K8" s="2207"/>
      <c r="L8" s="2207"/>
      <c r="M8" s="2197"/>
    </row>
    <row r="9" spans="1:14">
      <c r="A9" s="2191" t="s">
        <v>367</v>
      </c>
      <c r="B9" s="2187"/>
      <c r="C9" s="2186">
        <f ca="1">CTR/5</f>
        <v>0</v>
      </c>
      <c r="D9" s="2186"/>
      <c r="E9" s="2183" t="s">
        <v>2081</v>
      </c>
      <c r="F9" s="2184"/>
      <c r="G9" s="2184"/>
      <c r="H9" s="2184"/>
      <c r="I9" s="2185"/>
      <c r="J9" s="2186" t="s">
        <v>2082</v>
      </c>
      <c r="K9" s="2186"/>
      <c r="L9" s="2186"/>
      <c r="M9" s="2187"/>
    </row>
    <row r="10" spans="1:14">
      <c r="A10" s="2191" t="s">
        <v>2083</v>
      </c>
      <c r="B10" s="2187"/>
      <c r="C10" s="2186">
        <f>_CTRX/5</f>
        <v>0</v>
      </c>
      <c r="D10" s="2186"/>
      <c r="E10" s="2183" t="s">
        <v>2084</v>
      </c>
      <c r="F10" s="2184"/>
      <c r="G10" s="2184"/>
      <c r="H10" s="2184"/>
      <c r="I10" s="2185"/>
      <c r="J10" s="2186" t="s">
        <v>2085</v>
      </c>
      <c r="K10" s="2186"/>
      <c r="L10" s="2186"/>
      <c r="M10" s="2187"/>
    </row>
    <row r="11" spans="1:14">
      <c r="A11" s="2191" t="s">
        <v>369</v>
      </c>
      <c r="B11" s="2187"/>
      <c r="C11" s="2186">
        <f ca="1">PTR</f>
        <v>0</v>
      </c>
      <c r="D11" s="2186"/>
      <c r="E11" s="2183" t="s">
        <v>2086</v>
      </c>
      <c r="F11" s="2184"/>
      <c r="G11" s="2184"/>
      <c r="H11" s="2184"/>
      <c r="I11" s="2185"/>
      <c r="J11" s="2186" t="s">
        <v>2087</v>
      </c>
      <c r="K11" s="2186"/>
      <c r="L11" s="2186"/>
      <c r="M11" s="2187"/>
    </row>
    <row r="12" spans="1:14">
      <c r="A12" s="2191" t="s">
        <v>2088</v>
      </c>
      <c r="B12" s="2187"/>
      <c r="C12" s="2209">
        <f>_VAZR</f>
        <v>0</v>
      </c>
      <c r="D12" s="2186"/>
      <c r="E12" s="2183" t="s">
        <v>2089</v>
      </c>
      <c r="F12" s="2184"/>
      <c r="G12" s="2184"/>
      <c r="H12" s="2184"/>
      <c r="I12" s="2185"/>
      <c r="J12" s="2186" t="s">
        <v>2090</v>
      </c>
      <c r="K12" s="2186"/>
      <c r="L12" s="2186"/>
      <c r="M12" s="2187"/>
    </row>
    <row r="13" spans="1:14">
      <c r="A13" s="2191" t="s">
        <v>2091</v>
      </c>
      <c r="B13" s="2187"/>
      <c r="C13" s="2208" t="e">
        <f ca="1">'1) Data Entry'!E16*1000/(PTR*SQRT(3))</f>
        <v>#DIV/0!</v>
      </c>
      <c r="D13" s="2208"/>
      <c r="E13" s="2183" t="s">
        <v>2092</v>
      </c>
      <c r="F13" s="2184"/>
      <c r="G13" s="2184"/>
      <c r="H13" s="2184"/>
      <c r="I13" s="2185"/>
      <c r="J13" s="2186" t="s">
        <v>2093</v>
      </c>
      <c r="K13" s="2186"/>
      <c r="L13" s="2186"/>
      <c r="M13" s="2187"/>
    </row>
    <row r="14" spans="1:14">
      <c r="A14" s="2191" t="s">
        <v>1025</v>
      </c>
      <c r="B14" s="2187"/>
      <c r="C14" s="2186" t="e">
        <f ca="1">_Z1MAG</f>
        <v>#DIV/0!</v>
      </c>
      <c r="D14" s="2186"/>
      <c r="E14" s="2183" t="s">
        <v>1679</v>
      </c>
      <c r="F14" s="2184"/>
      <c r="G14" s="2184"/>
      <c r="H14" s="2184"/>
      <c r="I14" s="2185"/>
      <c r="J14" s="2186" t="s">
        <v>1680</v>
      </c>
      <c r="K14" s="2186"/>
      <c r="L14" s="2186"/>
      <c r="M14" s="2187"/>
    </row>
    <row r="15" spans="1:14">
      <c r="A15" s="2191" t="s">
        <v>1027</v>
      </c>
      <c r="B15" s="2187"/>
      <c r="C15" s="2186" t="e">
        <f>_Z1ANG</f>
        <v>#DIV/0!</v>
      </c>
      <c r="D15" s="2186"/>
      <c r="E15" s="2183" t="s">
        <v>1681</v>
      </c>
      <c r="F15" s="2184"/>
      <c r="G15" s="2184"/>
      <c r="H15" s="2184"/>
      <c r="I15" s="2185"/>
      <c r="J15" s="2186" t="s">
        <v>1682</v>
      </c>
      <c r="K15" s="2186"/>
      <c r="L15" s="2186"/>
      <c r="M15" s="2187"/>
    </row>
    <row r="16" spans="1:14">
      <c r="A16" s="2191" t="s">
        <v>1049</v>
      </c>
      <c r="B16" s="2187"/>
      <c r="C16" s="2186" t="e">
        <f ca="1">_Z0MAG</f>
        <v>#DIV/0!</v>
      </c>
      <c r="D16" s="2186"/>
      <c r="E16" s="2183" t="s">
        <v>1683</v>
      </c>
      <c r="F16" s="2184"/>
      <c r="G16" s="2184"/>
      <c r="H16" s="2184"/>
      <c r="I16" s="2185"/>
      <c r="J16" s="2186" t="s">
        <v>1684</v>
      </c>
      <c r="K16" s="2186"/>
      <c r="L16" s="2186"/>
      <c r="M16" s="2187"/>
    </row>
    <row r="17" spans="1:13">
      <c r="A17" s="2191" t="s">
        <v>1050</v>
      </c>
      <c r="B17" s="2187"/>
      <c r="C17" s="2186" t="e">
        <f>_Z0ANG</f>
        <v>#DIV/0!</v>
      </c>
      <c r="D17" s="2186"/>
      <c r="E17" s="2183" t="s">
        <v>1685</v>
      </c>
      <c r="F17" s="2184"/>
      <c r="G17" s="2184"/>
      <c r="H17" s="2184"/>
      <c r="I17" s="2185"/>
      <c r="J17" s="2186" t="s">
        <v>1686</v>
      </c>
      <c r="K17" s="2186"/>
      <c r="L17" s="2186"/>
      <c r="M17" s="2187"/>
    </row>
    <row r="18" spans="1:13">
      <c r="A18" s="2191" t="s">
        <v>387</v>
      </c>
      <c r="B18" s="2187"/>
      <c r="C18" s="2208">
        <f>'1) Data Entry'!E59</f>
        <v>0</v>
      </c>
      <c r="D18" s="2186"/>
      <c r="E18" s="2183" t="s">
        <v>1687</v>
      </c>
      <c r="F18" s="2184"/>
      <c r="G18" s="2184"/>
      <c r="H18" s="2184"/>
      <c r="I18" s="2185"/>
      <c r="J18" s="2186" t="s">
        <v>714</v>
      </c>
      <c r="K18" s="2186"/>
      <c r="L18" s="2186"/>
      <c r="M18" s="2187"/>
    </row>
    <row r="19" spans="1:13">
      <c r="A19" s="2191" t="s">
        <v>2094</v>
      </c>
      <c r="B19" s="2187"/>
      <c r="C19" s="2210">
        <v>4</v>
      </c>
      <c r="D19" s="2211"/>
      <c r="E19" s="2183" t="s">
        <v>1689</v>
      </c>
      <c r="F19" s="2184"/>
      <c r="G19" s="2184"/>
      <c r="H19" s="2184"/>
      <c r="I19" s="2185"/>
      <c r="J19" s="2186" t="s">
        <v>1690</v>
      </c>
      <c r="K19" s="2186"/>
      <c r="L19" s="2186"/>
      <c r="M19" s="2187"/>
    </row>
    <row r="20" spans="1:13">
      <c r="A20" s="2191" t="s">
        <v>1100</v>
      </c>
      <c r="B20" s="2187"/>
      <c r="C20" s="2208" t="e">
        <f ca="1">'7) Relay Calc'!H51</f>
        <v>#DIV/0!</v>
      </c>
      <c r="D20" s="2186"/>
      <c r="E20" s="2183" t="s">
        <v>2095</v>
      </c>
      <c r="F20" s="2184"/>
      <c r="G20" s="2184"/>
      <c r="H20" s="2184"/>
      <c r="I20" s="2185"/>
      <c r="J20" s="2186" t="s">
        <v>1701</v>
      </c>
      <c r="K20" s="2186"/>
      <c r="L20" s="2186"/>
      <c r="M20" s="2187"/>
    </row>
    <row r="21" spans="1:13">
      <c r="A21" s="2191" t="s">
        <v>1103</v>
      </c>
      <c r="B21" s="2187"/>
      <c r="C21" s="2208" t="e">
        <f ca="1">'7) Relay Calc'!H52</f>
        <v>#DIV/0!</v>
      </c>
      <c r="D21" s="2186"/>
      <c r="E21" s="2183" t="s">
        <v>2096</v>
      </c>
      <c r="F21" s="2184"/>
      <c r="G21" s="2184"/>
      <c r="H21" s="2184"/>
      <c r="I21" s="2185"/>
      <c r="J21" s="2186" t="s">
        <v>1704</v>
      </c>
      <c r="K21" s="2186"/>
      <c r="L21" s="2186"/>
      <c r="M21" s="2187"/>
    </row>
    <row r="22" spans="1:13">
      <c r="A22" s="2191" t="s">
        <v>1106</v>
      </c>
      <c r="B22" s="2187"/>
      <c r="C22" s="2208" t="e">
        <f ca="1">'7) Relay Calc'!H53</f>
        <v>#DIV/0!</v>
      </c>
      <c r="D22" s="2186"/>
      <c r="E22" s="2183" t="s">
        <v>2097</v>
      </c>
      <c r="F22" s="2184"/>
      <c r="G22" s="2184"/>
      <c r="H22" s="2184"/>
      <c r="I22" s="2185"/>
      <c r="J22" s="2186" t="s">
        <v>1707</v>
      </c>
      <c r="K22" s="2186"/>
      <c r="L22" s="2186"/>
      <c r="M22" s="2187"/>
    </row>
    <row r="23" spans="1:13">
      <c r="A23" s="2191" t="s">
        <v>1109</v>
      </c>
      <c r="B23" s="2187"/>
      <c r="C23" s="2208" t="e">
        <f ca="1">'7) Relay Calc'!H54</f>
        <v>#DIV/0!</v>
      </c>
      <c r="D23" s="2186"/>
      <c r="E23" s="2183" t="s">
        <v>2098</v>
      </c>
      <c r="F23" s="2184"/>
      <c r="G23" s="2184"/>
      <c r="H23" s="2184"/>
      <c r="I23" s="2185"/>
      <c r="J23" s="2186" t="s">
        <v>1710</v>
      </c>
      <c r="K23" s="2186"/>
      <c r="L23" s="2186"/>
      <c r="M23" s="2187"/>
    </row>
    <row r="24" spans="1:13">
      <c r="A24" s="2191" t="s">
        <v>570</v>
      </c>
      <c r="B24" s="2187"/>
      <c r="C24" s="2212" t="e">
        <f ca="1">_50PP1</f>
        <v>#DIV/0!</v>
      </c>
      <c r="D24" s="2213"/>
      <c r="E24" s="2183" t="s">
        <v>2099</v>
      </c>
      <c r="F24" s="2184"/>
      <c r="G24" s="2184"/>
      <c r="H24" s="2184"/>
      <c r="I24" s="2185"/>
      <c r="J24" s="2186" t="s">
        <v>1713</v>
      </c>
      <c r="K24" s="2186"/>
      <c r="L24" s="2186"/>
      <c r="M24" s="2187"/>
    </row>
    <row r="25" spans="1:13">
      <c r="A25" s="2191" t="s">
        <v>1691</v>
      </c>
      <c r="B25" s="2187"/>
      <c r="C25" s="2210">
        <v>4</v>
      </c>
      <c r="D25" s="2211"/>
      <c r="E25" s="2183" t="s">
        <v>1692</v>
      </c>
      <c r="F25" s="2184"/>
      <c r="G25" s="2184"/>
      <c r="H25" s="2184"/>
      <c r="I25" s="2185"/>
      <c r="J25" s="2186" t="s">
        <v>1693</v>
      </c>
      <c r="K25" s="2186"/>
      <c r="L25" s="2186"/>
      <c r="M25" s="2187"/>
    </row>
    <row r="26" spans="1:13">
      <c r="A26" s="2191" t="s">
        <v>1114</v>
      </c>
      <c r="B26" s="2187"/>
      <c r="C26" s="2208" t="e">
        <f ca="1">'7) Relay Calc'!H57</f>
        <v>#DIV/0!</v>
      </c>
      <c r="D26" s="2186"/>
      <c r="E26" s="2183" t="s">
        <v>1717</v>
      </c>
      <c r="F26" s="2184"/>
      <c r="G26" s="2184"/>
      <c r="H26" s="2184"/>
      <c r="I26" s="2185"/>
      <c r="J26" s="2186" t="s">
        <v>1718</v>
      </c>
      <c r="K26" s="2186"/>
      <c r="L26" s="2186"/>
      <c r="M26" s="2187"/>
    </row>
    <row r="27" spans="1:13">
      <c r="A27" s="2191" t="s">
        <v>1116</v>
      </c>
      <c r="B27" s="2187"/>
      <c r="C27" s="2208" t="e">
        <f ca="1">'7) Relay Calc'!H58</f>
        <v>#DIV/0!</v>
      </c>
      <c r="D27" s="2186"/>
      <c r="E27" s="2183" t="s">
        <v>1719</v>
      </c>
      <c r="F27" s="2184"/>
      <c r="G27" s="2184"/>
      <c r="H27" s="2184"/>
      <c r="I27" s="2185"/>
      <c r="J27" s="2186" t="s">
        <v>1720</v>
      </c>
      <c r="K27" s="2186"/>
      <c r="L27" s="2186"/>
      <c r="M27" s="2187"/>
    </row>
    <row r="28" spans="1:13">
      <c r="A28" s="2191" t="s">
        <v>1118</v>
      </c>
      <c r="B28" s="2187"/>
      <c r="C28" s="2208" t="e">
        <f ca="1">'7) Relay Calc'!H59</f>
        <v>#DIV/0!</v>
      </c>
      <c r="D28" s="2186"/>
      <c r="E28" s="2183" t="s">
        <v>1721</v>
      </c>
      <c r="F28" s="2184"/>
      <c r="G28" s="2184"/>
      <c r="H28" s="2184"/>
      <c r="I28" s="2185"/>
      <c r="J28" s="2186" t="s">
        <v>1722</v>
      </c>
      <c r="K28" s="2186"/>
      <c r="L28" s="2186"/>
      <c r="M28" s="2187"/>
    </row>
    <row r="29" spans="1:13">
      <c r="A29" s="2191" t="s">
        <v>1120</v>
      </c>
      <c r="B29" s="2187"/>
      <c r="C29" s="2208" t="e">
        <f ca="1">'7) Relay Calc'!H60</f>
        <v>#DIV/0!</v>
      </c>
      <c r="D29" s="2186"/>
      <c r="E29" s="2183" t="s">
        <v>1723</v>
      </c>
      <c r="F29" s="2184"/>
      <c r="G29" s="2184"/>
      <c r="H29" s="2184"/>
      <c r="I29" s="2185"/>
      <c r="J29" s="2186" t="s">
        <v>1724</v>
      </c>
      <c r="K29" s="2186"/>
      <c r="L29" s="2186"/>
      <c r="M29" s="2187"/>
    </row>
    <row r="30" spans="1:13">
      <c r="A30" s="2191" t="s">
        <v>1134</v>
      </c>
      <c r="B30" s="2187"/>
      <c r="C30" s="2186" t="e">
        <f ca="1">'7) Relay Calc'!H72</f>
        <v>#DIV/0!</v>
      </c>
      <c r="D30" s="2186"/>
      <c r="E30" s="2183" t="s">
        <v>1694</v>
      </c>
      <c r="F30" s="2184"/>
      <c r="G30" s="2184"/>
      <c r="H30" s="2184"/>
      <c r="I30" s="2185"/>
      <c r="J30" s="2186" t="s">
        <v>1695</v>
      </c>
      <c r="K30" s="2186"/>
      <c r="L30" s="2186"/>
      <c r="M30" s="2187"/>
    </row>
    <row r="31" spans="1:13">
      <c r="A31" s="2191" t="s">
        <v>1727</v>
      </c>
      <c r="B31" s="2187"/>
      <c r="C31" s="2208" t="e">
        <f ca="1">'7) Relay Calc'!D78</f>
        <v>#DIV/0!</v>
      </c>
      <c r="D31" s="2186"/>
      <c r="E31" s="2183" t="s">
        <v>1728</v>
      </c>
      <c r="F31" s="2184"/>
      <c r="G31" s="2184"/>
      <c r="H31" s="2184"/>
      <c r="I31" s="2185"/>
      <c r="J31" s="2186" t="s">
        <v>1729</v>
      </c>
      <c r="K31" s="2186"/>
      <c r="L31" s="2186"/>
      <c r="M31" s="2187"/>
    </row>
    <row r="32" spans="1:13">
      <c r="A32" s="2191" t="s">
        <v>1140</v>
      </c>
      <c r="B32" s="2187"/>
      <c r="C32" s="2208" t="e">
        <f ca="1">'7) Relay Calc'!L78</f>
        <v>#DIV/0!</v>
      </c>
      <c r="D32" s="2186"/>
      <c r="E32" s="2183" t="s">
        <v>1730</v>
      </c>
      <c r="F32" s="2184"/>
      <c r="G32" s="2184"/>
      <c r="H32" s="2184"/>
      <c r="I32" s="2185"/>
      <c r="J32" s="2186" t="s">
        <v>1729</v>
      </c>
      <c r="K32" s="2186"/>
      <c r="L32" s="2186"/>
      <c r="M32" s="2187"/>
    </row>
    <row r="33" spans="1:13">
      <c r="A33" s="2191" t="s">
        <v>1731</v>
      </c>
      <c r="B33" s="2187"/>
      <c r="C33" s="2208" t="e">
        <f ca="1">'7) Relay Calc'!D79</f>
        <v>#DIV/0!</v>
      </c>
      <c r="D33" s="2186"/>
      <c r="E33" s="2183" t="s">
        <v>1732</v>
      </c>
      <c r="F33" s="2184"/>
      <c r="G33" s="2184"/>
      <c r="H33" s="2184"/>
      <c r="I33" s="2185"/>
      <c r="J33" s="2186" t="s">
        <v>1733</v>
      </c>
      <c r="K33" s="2186"/>
      <c r="L33" s="2186"/>
      <c r="M33" s="2187"/>
    </row>
    <row r="34" spans="1:13">
      <c r="A34" s="2191" t="s">
        <v>1142</v>
      </c>
      <c r="B34" s="2187"/>
      <c r="C34" s="2208" t="e">
        <f ca="1">'7) Relay Calc'!L79</f>
        <v>#DIV/0!</v>
      </c>
      <c r="D34" s="2186"/>
      <c r="E34" s="2183" t="s">
        <v>1734</v>
      </c>
      <c r="F34" s="2184"/>
      <c r="G34" s="2184"/>
      <c r="H34" s="2184"/>
      <c r="I34" s="2185"/>
      <c r="J34" s="2186" t="s">
        <v>1733</v>
      </c>
      <c r="K34" s="2186"/>
      <c r="L34" s="2186"/>
      <c r="M34" s="2187"/>
    </row>
    <row r="35" spans="1:13">
      <c r="A35" s="2191" t="s">
        <v>1735</v>
      </c>
      <c r="B35" s="2187"/>
      <c r="C35" s="2208" t="e">
        <f ca="1">'7) Relay Calc'!D81</f>
        <v>#DIV/0!</v>
      </c>
      <c r="D35" s="2186"/>
      <c r="E35" s="2183" t="s">
        <v>1736</v>
      </c>
      <c r="F35" s="2184"/>
      <c r="G35" s="2184"/>
      <c r="H35" s="2184"/>
      <c r="I35" s="2185"/>
      <c r="J35" s="2186" t="s">
        <v>1737</v>
      </c>
      <c r="K35" s="2186"/>
      <c r="L35" s="2186"/>
      <c r="M35" s="2187"/>
    </row>
    <row r="36" spans="1:13">
      <c r="A36" s="2191" t="s">
        <v>1148</v>
      </c>
      <c r="B36" s="2187"/>
      <c r="C36" s="2208" t="e">
        <f ca="1">'7) Relay Calc'!L81</f>
        <v>#DIV/0!</v>
      </c>
      <c r="D36" s="2186"/>
      <c r="E36" s="2183" t="s">
        <v>1738</v>
      </c>
      <c r="F36" s="2184"/>
      <c r="G36" s="2184"/>
      <c r="H36" s="2184"/>
      <c r="I36" s="2185"/>
      <c r="J36" s="2186" t="s">
        <v>1737</v>
      </c>
      <c r="K36" s="2186"/>
      <c r="L36" s="2186"/>
      <c r="M36" s="2187"/>
    </row>
    <row r="37" spans="1:13">
      <c r="A37" s="2191" t="s">
        <v>1064</v>
      </c>
      <c r="B37" s="2187"/>
      <c r="C37" s="2186" t="e">
        <f ca="1">ROUND('7) Relay Calc'!D37,3)</f>
        <v>#DIV/0!</v>
      </c>
      <c r="D37" s="2186"/>
      <c r="E37" s="2183" t="s">
        <v>1744</v>
      </c>
      <c r="F37" s="2184"/>
      <c r="G37" s="2184"/>
      <c r="H37" s="2184"/>
      <c r="I37" s="2185"/>
      <c r="J37" s="2186" t="s">
        <v>1745</v>
      </c>
      <c r="K37" s="2186"/>
      <c r="L37" s="2186"/>
      <c r="M37" s="2187"/>
    </row>
    <row r="38" spans="1:13">
      <c r="A38" s="2191" t="s">
        <v>1066</v>
      </c>
      <c r="B38" s="2187"/>
      <c r="C38" s="2208" t="e">
        <f ca="1">'7) Relay Calc'!J37</f>
        <v>#DIV/0!</v>
      </c>
      <c r="D38" s="2208"/>
      <c r="E38" s="2183" t="s">
        <v>1746</v>
      </c>
      <c r="F38" s="2184"/>
      <c r="G38" s="2184"/>
      <c r="H38" s="2184"/>
      <c r="I38" s="2185"/>
      <c r="J38" s="2186" t="s">
        <v>1745</v>
      </c>
      <c r="K38" s="2186"/>
      <c r="L38" s="2186"/>
      <c r="M38" s="2187"/>
    </row>
    <row r="39" spans="1:13">
      <c r="A39" s="2191" t="s">
        <v>1714</v>
      </c>
      <c r="B39" s="2187"/>
      <c r="C39" s="2210">
        <v>50</v>
      </c>
      <c r="D39" s="2211"/>
      <c r="E39" s="2183" t="s">
        <v>1715</v>
      </c>
      <c r="F39" s="2184"/>
      <c r="G39" s="2184"/>
      <c r="H39" s="2184"/>
      <c r="I39" s="2185"/>
      <c r="J39" s="2186" t="s">
        <v>1716</v>
      </c>
      <c r="K39" s="2186"/>
      <c r="L39" s="2186"/>
      <c r="M39" s="2187"/>
    </row>
    <row r="40" spans="1:13">
      <c r="A40" s="2191" t="s">
        <v>1747</v>
      </c>
      <c r="B40" s="2187"/>
      <c r="C40" s="2210">
        <v>50</v>
      </c>
      <c r="D40" s="2211"/>
      <c r="E40" s="2183" t="s">
        <v>1748</v>
      </c>
      <c r="F40" s="2184"/>
      <c r="G40" s="2184"/>
      <c r="H40" s="2184"/>
      <c r="I40" s="2185"/>
      <c r="J40" s="2186" t="s">
        <v>1749</v>
      </c>
      <c r="K40" s="2186"/>
      <c r="L40" s="2186"/>
      <c r="M40" s="2187"/>
    </row>
    <row r="41" spans="1:13">
      <c r="A41" s="2191" t="s">
        <v>1750</v>
      </c>
      <c r="B41" s="2187"/>
      <c r="C41" s="2210">
        <v>0</v>
      </c>
      <c r="D41" s="2211"/>
      <c r="E41" s="2183" t="s">
        <v>1751</v>
      </c>
      <c r="F41" s="2184"/>
      <c r="G41" s="2184"/>
      <c r="H41" s="2184"/>
      <c r="I41" s="2185"/>
      <c r="J41" s="2186" t="s">
        <v>1752</v>
      </c>
      <c r="K41" s="2186"/>
      <c r="L41" s="2186"/>
      <c r="M41" s="2187"/>
    </row>
    <row r="42" spans="1:13">
      <c r="A42" s="2191" t="s">
        <v>1753</v>
      </c>
      <c r="B42" s="2187"/>
      <c r="C42" s="2210">
        <v>20</v>
      </c>
      <c r="D42" s="2211"/>
      <c r="E42" s="2183" t="s">
        <v>1754</v>
      </c>
      <c r="F42" s="2184"/>
      <c r="G42" s="2184"/>
      <c r="H42" s="2184"/>
      <c r="I42" s="2185"/>
      <c r="J42" s="2186" t="s">
        <v>1755</v>
      </c>
      <c r="K42" s="2186"/>
      <c r="L42" s="2186"/>
      <c r="M42" s="2187"/>
    </row>
    <row r="43" spans="1:13">
      <c r="A43" s="2191" t="s">
        <v>1756</v>
      </c>
      <c r="B43" s="2187"/>
      <c r="C43" s="2210">
        <v>20</v>
      </c>
      <c r="D43" s="2211"/>
      <c r="E43" s="2183" t="s">
        <v>1757</v>
      </c>
      <c r="F43" s="2184"/>
      <c r="G43" s="2184"/>
      <c r="H43" s="2184"/>
      <c r="I43" s="2185"/>
      <c r="J43" s="2186" t="s">
        <v>1758</v>
      </c>
      <c r="K43" s="2186"/>
      <c r="L43" s="2186"/>
      <c r="M43" s="2187"/>
    </row>
    <row r="44" spans="1:13" s="692" customFormat="1">
      <c r="A44" s="2236" t="s">
        <v>1398</v>
      </c>
      <c r="B44" s="2237"/>
      <c r="C44" s="2238" t="e">
        <f ca="1">_50P1P</f>
        <v>#DIV/0!</v>
      </c>
      <c r="D44" s="2238"/>
      <c r="E44" s="2239" t="s">
        <v>1771</v>
      </c>
      <c r="F44" s="2240"/>
      <c r="G44" s="2240"/>
      <c r="H44" s="2240"/>
      <c r="I44" s="2241"/>
      <c r="J44" s="2238" t="s">
        <v>1604</v>
      </c>
      <c r="K44" s="2238"/>
      <c r="L44" s="2238"/>
      <c r="M44" s="2237"/>
    </row>
    <row r="45" spans="1:13">
      <c r="A45" s="2191" t="s">
        <v>1778</v>
      </c>
      <c r="B45" s="2187"/>
      <c r="C45" s="2192" t="e">
        <f ca="1">_50P2P</f>
        <v>#DIV/0!</v>
      </c>
      <c r="D45" s="2192"/>
      <c r="E45" s="2183" t="s">
        <v>1779</v>
      </c>
      <c r="F45" s="2184"/>
      <c r="G45" s="2184"/>
      <c r="H45" s="2184"/>
      <c r="I45" s="2185"/>
      <c r="J45" s="2186" t="s">
        <v>1780</v>
      </c>
      <c r="K45" s="2186"/>
      <c r="L45" s="2186"/>
      <c r="M45" s="2187"/>
    </row>
    <row r="46" spans="1:13">
      <c r="A46" s="2191" t="s">
        <v>1424</v>
      </c>
      <c r="B46" s="2187"/>
      <c r="C46" s="2192" t="e">
        <f ca="1">'11) BF Fault Det'!AA26</f>
        <v>#DIV/0!</v>
      </c>
      <c r="D46" s="2192"/>
      <c r="E46" s="2183" t="s">
        <v>1781</v>
      </c>
      <c r="F46" s="2184"/>
      <c r="G46" s="2184"/>
      <c r="H46" s="2184"/>
      <c r="I46" s="2185"/>
      <c r="J46" s="2186" t="s">
        <v>2100</v>
      </c>
      <c r="K46" s="2186"/>
      <c r="L46" s="2186"/>
      <c r="M46" s="2187"/>
    </row>
    <row r="47" spans="1:13" s="692" customFormat="1">
      <c r="A47" s="2236" t="s">
        <v>1772</v>
      </c>
      <c r="B47" s="2237"/>
      <c r="C47" s="2238">
        <f>'10) SOTF'!Q45</f>
        <v>2</v>
      </c>
      <c r="D47" s="2238"/>
      <c r="E47" s="2239" t="s">
        <v>1773</v>
      </c>
      <c r="F47" s="2240"/>
      <c r="G47" s="2240"/>
      <c r="H47" s="2240"/>
      <c r="I47" s="2241"/>
      <c r="J47" s="2238" t="s">
        <v>1774</v>
      </c>
      <c r="K47" s="2238"/>
      <c r="L47" s="2238"/>
      <c r="M47" s="2237"/>
    </row>
    <row r="48" spans="1:13">
      <c r="A48" s="2191" t="s">
        <v>629</v>
      </c>
      <c r="B48" s="2187"/>
      <c r="C48" s="2186" t="e">
        <f ca="1">_50G2P</f>
        <v>#DIV/0!</v>
      </c>
      <c r="D48" s="2186"/>
      <c r="E48" s="2183" t="s">
        <v>1784</v>
      </c>
      <c r="F48" s="2184"/>
      <c r="G48" s="2184"/>
      <c r="H48" s="2184"/>
      <c r="I48" s="2185"/>
      <c r="J48" s="2186" t="s">
        <v>1785</v>
      </c>
      <c r="K48" s="2186"/>
      <c r="L48" s="2186"/>
      <c r="M48" s="2187"/>
    </row>
    <row r="49" spans="1:14">
      <c r="A49" s="2191" t="s">
        <v>637</v>
      </c>
      <c r="B49" s="2187"/>
      <c r="C49" s="2186">
        <f>_50G3P</f>
        <v>0.5</v>
      </c>
      <c r="D49" s="2186"/>
      <c r="E49" s="2183" t="s">
        <v>1786</v>
      </c>
      <c r="F49" s="2184"/>
      <c r="G49" s="2184"/>
      <c r="H49" s="2184"/>
      <c r="I49" s="2185"/>
      <c r="J49" s="2186" t="s">
        <v>1787</v>
      </c>
      <c r="K49" s="2186"/>
      <c r="L49" s="2186"/>
      <c r="M49" s="2187"/>
    </row>
    <row r="50" spans="1:14">
      <c r="A50" s="2191" t="s">
        <v>1371</v>
      </c>
      <c r="B50" s="2187"/>
      <c r="C50" s="2186" t="e">
        <f ca="1">_50G4P</f>
        <v>#DIV/0!</v>
      </c>
      <c r="D50" s="2186"/>
      <c r="E50" s="2183" t="s">
        <v>1788</v>
      </c>
      <c r="F50" s="2184"/>
      <c r="G50" s="2184"/>
      <c r="H50" s="2184"/>
      <c r="I50" s="2185"/>
      <c r="J50" s="2186" t="s">
        <v>1789</v>
      </c>
      <c r="K50" s="2186"/>
      <c r="L50" s="2186"/>
      <c r="M50" s="2187"/>
    </row>
    <row r="51" spans="1:14" ht="36" customHeight="1">
      <c r="A51" s="2191" t="s">
        <v>2101</v>
      </c>
      <c r="B51" s="2187"/>
      <c r="C51" s="2210">
        <v>0.25</v>
      </c>
      <c r="D51" s="2211"/>
      <c r="E51" s="2183" t="s">
        <v>2102</v>
      </c>
      <c r="F51" s="2184"/>
      <c r="G51" s="2184"/>
      <c r="H51" s="2184"/>
      <c r="I51" s="2185"/>
      <c r="J51" s="2243" t="s">
        <v>2103</v>
      </c>
      <c r="K51" s="2244"/>
      <c r="L51" s="2244"/>
      <c r="M51" s="2245"/>
      <c r="N51" s="694" t="s">
        <v>1383</v>
      </c>
    </row>
    <row r="52" spans="1:14">
      <c r="A52" s="2191" t="s">
        <v>1790</v>
      </c>
      <c r="B52" s="2187"/>
      <c r="C52" s="2210">
        <v>1</v>
      </c>
      <c r="D52" s="2211"/>
      <c r="E52" s="2183" t="s">
        <v>1791</v>
      </c>
      <c r="F52" s="2184"/>
      <c r="G52" s="2184"/>
      <c r="H52" s="2184"/>
      <c r="I52" s="2185"/>
      <c r="J52" s="2186" t="s">
        <v>1792</v>
      </c>
      <c r="K52" s="2186"/>
      <c r="L52" s="2186"/>
      <c r="M52" s="2187"/>
    </row>
    <row r="53" spans="1:14">
      <c r="A53" s="2191" t="s">
        <v>1381</v>
      </c>
      <c r="B53" s="2187"/>
      <c r="C53" s="2186" t="e">
        <f ca="1">_50Q4P</f>
        <v>#DIV/0!</v>
      </c>
      <c r="D53" s="2186"/>
      <c r="E53" s="2183" t="s">
        <v>1793</v>
      </c>
      <c r="F53" s="2184"/>
      <c r="G53" s="2184"/>
      <c r="H53" s="2184"/>
      <c r="I53" s="2185"/>
      <c r="J53" s="2186" t="s">
        <v>1794</v>
      </c>
      <c r="K53" s="2186"/>
      <c r="L53" s="2186"/>
      <c r="M53" s="2187"/>
    </row>
    <row r="54" spans="1:14" s="692" customFormat="1">
      <c r="A54" s="2236" t="s">
        <v>1362</v>
      </c>
      <c r="B54" s="2237"/>
      <c r="C54" s="2238" t="e">
        <f ca="1">_51PP</f>
        <v>#DIV/0!</v>
      </c>
      <c r="D54" s="2238"/>
      <c r="E54" s="2239" t="s">
        <v>2104</v>
      </c>
      <c r="F54" s="2240"/>
      <c r="G54" s="2240"/>
      <c r="H54" s="2240"/>
      <c r="I54" s="2241"/>
      <c r="J54" s="2238" t="s">
        <v>1783</v>
      </c>
      <c r="K54" s="2238"/>
      <c r="L54" s="2238"/>
      <c r="M54" s="2237"/>
    </row>
    <row r="55" spans="1:14">
      <c r="A55" s="2191" t="s">
        <v>2105</v>
      </c>
      <c r="B55" s="2187"/>
      <c r="C55" s="2192" t="e">
        <f ca="1">_51S1P</f>
        <v>#DIV/0!</v>
      </c>
      <c r="D55" s="2192"/>
      <c r="E55" s="2183" t="s">
        <v>2106</v>
      </c>
      <c r="F55" s="2184"/>
      <c r="G55" s="2184"/>
      <c r="H55" s="2184"/>
      <c r="I55" s="2185"/>
      <c r="J55" s="2186" t="s">
        <v>1797</v>
      </c>
      <c r="K55" s="2186"/>
      <c r="L55" s="2186"/>
      <c r="M55" s="2187"/>
    </row>
    <row r="56" spans="1:14">
      <c r="A56" s="2191" t="s">
        <v>2107</v>
      </c>
      <c r="B56" s="2187"/>
      <c r="C56" s="2208" t="str">
        <f>'8) LOP &amp; Ground TOC'!G75</f>
        <v>U2</v>
      </c>
      <c r="D56" s="2186"/>
      <c r="E56" s="2183" t="s">
        <v>2108</v>
      </c>
      <c r="F56" s="2184"/>
      <c r="G56" s="2184"/>
      <c r="H56" s="2184"/>
      <c r="I56" s="2185"/>
      <c r="J56" s="2186" t="s">
        <v>1800</v>
      </c>
      <c r="K56" s="2186"/>
      <c r="L56" s="2186"/>
      <c r="M56" s="2187"/>
    </row>
    <row r="57" spans="1:14">
      <c r="A57" s="2191" t="s">
        <v>2109</v>
      </c>
      <c r="B57" s="2187"/>
      <c r="C57" s="2186" t="e">
        <f ca="1">'8) LOP &amp; Ground TOC'!S74</f>
        <v>#DIV/0!</v>
      </c>
      <c r="D57" s="2186"/>
      <c r="E57" s="2183" t="s">
        <v>2110</v>
      </c>
      <c r="F57" s="2184"/>
      <c r="G57" s="2184"/>
      <c r="H57" s="2184"/>
      <c r="I57" s="2185"/>
      <c r="J57" s="2186" t="s">
        <v>1803</v>
      </c>
      <c r="K57" s="2186"/>
      <c r="L57" s="2186"/>
      <c r="M57" s="2187"/>
    </row>
    <row r="58" spans="1:14">
      <c r="A58" s="2191" t="s">
        <v>2111</v>
      </c>
      <c r="B58" s="2187"/>
      <c r="C58" s="2186" t="e">
        <f ca="1">_51QP</f>
        <v>#DIV/0!</v>
      </c>
      <c r="D58" s="2186"/>
      <c r="E58" s="2183" t="s">
        <v>2112</v>
      </c>
      <c r="F58" s="2184"/>
      <c r="G58" s="2184"/>
      <c r="H58" s="2184"/>
      <c r="I58" s="2185"/>
      <c r="J58" s="2186" t="s">
        <v>1806</v>
      </c>
      <c r="K58" s="2186"/>
      <c r="L58" s="2186"/>
      <c r="M58" s="2187"/>
    </row>
    <row r="59" spans="1:14" s="692" customFormat="1">
      <c r="A59" s="2236" t="s">
        <v>1759</v>
      </c>
      <c r="B59" s="2237"/>
      <c r="C59" s="2238" t="e">
        <f ca="1">_ZLF</f>
        <v>#DIV/0!</v>
      </c>
      <c r="D59" s="2238"/>
      <c r="E59" s="2239" t="s">
        <v>1760</v>
      </c>
      <c r="F59" s="2240"/>
      <c r="G59" s="2240"/>
      <c r="H59" s="2240"/>
      <c r="I59" s="2241"/>
      <c r="J59" s="2238" t="s">
        <v>1761</v>
      </c>
      <c r="K59" s="2238"/>
      <c r="L59" s="2238"/>
      <c r="M59" s="2237"/>
    </row>
    <row r="60" spans="1:14" s="692" customFormat="1">
      <c r="A60" s="2236" t="s">
        <v>1762</v>
      </c>
      <c r="B60" s="2237"/>
      <c r="C60" s="2238" t="e">
        <f ca="1">_ZLF</f>
        <v>#DIV/0!</v>
      </c>
      <c r="D60" s="2238"/>
      <c r="E60" s="2239" t="s">
        <v>1763</v>
      </c>
      <c r="F60" s="2240"/>
      <c r="G60" s="2240"/>
      <c r="H60" s="2240"/>
      <c r="I60" s="2241"/>
      <c r="J60" s="2238" t="s">
        <v>1764</v>
      </c>
      <c r="K60" s="2238"/>
      <c r="L60" s="2238"/>
      <c r="M60" s="2237"/>
    </row>
    <row r="61" spans="1:14" s="692" customFormat="1">
      <c r="A61" s="2236" t="s">
        <v>898</v>
      </c>
      <c r="B61" s="2237"/>
      <c r="C61" s="2242">
        <f>'6) Zone Imp'!U163</f>
        <v>40</v>
      </c>
      <c r="D61" s="2242"/>
      <c r="E61" s="2239" t="s">
        <v>1765</v>
      </c>
      <c r="F61" s="2240"/>
      <c r="G61" s="2240"/>
      <c r="H61" s="2240"/>
      <c r="I61" s="2241"/>
      <c r="J61" s="2238" t="s">
        <v>1761</v>
      </c>
      <c r="K61" s="2238"/>
      <c r="L61" s="2238"/>
      <c r="M61" s="2237"/>
    </row>
    <row r="62" spans="1:14" s="692" customFormat="1">
      <c r="A62" s="2236" t="s">
        <v>899</v>
      </c>
      <c r="B62" s="2237"/>
      <c r="C62" s="2242">
        <f>'6) Zone Imp'!U164</f>
        <v>-40</v>
      </c>
      <c r="D62" s="2242"/>
      <c r="E62" s="2239" t="s">
        <v>1766</v>
      </c>
      <c r="F62" s="2240"/>
      <c r="G62" s="2240"/>
      <c r="H62" s="2240"/>
      <c r="I62" s="2241"/>
      <c r="J62" s="2238" t="s">
        <v>1761</v>
      </c>
      <c r="K62" s="2238"/>
      <c r="L62" s="2238"/>
      <c r="M62" s="2237"/>
    </row>
    <row r="63" spans="1:14" s="692" customFormat="1">
      <c r="A63" s="2236" t="s">
        <v>1767</v>
      </c>
      <c r="B63" s="2237"/>
      <c r="C63" s="2242">
        <f>180-C61</f>
        <v>140</v>
      </c>
      <c r="D63" s="2242"/>
      <c r="E63" s="2239" t="s">
        <v>1768</v>
      </c>
      <c r="F63" s="2240"/>
      <c r="G63" s="2240"/>
      <c r="H63" s="2240"/>
      <c r="I63" s="2241"/>
      <c r="J63" s="2238" t="s">
        <v>1764</v>
      </c>
      <c r="K63" s="2238"/>
      <c r="L63" s="2238"/>
      <c r="M63" s="2237"/>
    </row>
    <row r="64" spans="1:14" s="692" customFormat="1">
      <c r="A64" s="2236" t="s">
        <v>1769</v>
      </c>
      <c r="B64" s="2237"/>
      <c r="C64" s="2242">
        <f>180-C62</f>
        <v>220</v>
      </c>
      <c r="D64" s="2242"/>
      <c r="E64" s="2239" t="s">
        <v>1770</v>
      </c>
      <c r="F64" s="2240"/>
      <c r="G64" s="2240"/>
      <c r="H64" s="2240"/>
      <c r="I64" s="2241"/>
      <c r="J64" s="2238" t="s">
        <v>1764</v>
      </c>
      <c r="K64" s="2238"/>
      <c r="L64" s="2238"/>
      <c r="M64" s="2237"/>
    </row>
    <row r="65" spans="1:13">
      <c r="A65" s="2191" t="s">
        <v>1406</v>
      </c>
      <c r="B65" s="2187"/>
      <c r="C65" s="2186" t="e">
        <f ca="1">_27P</f>
        <v>#DIV/0!</v>
      </c>
      <c r="D65" s="2186"/>
      <c r="E65" s="2183" t="s">
        <v>1891</v>
      </c>
      <c r="F65" s="2184"/>
      <c r="G65" s="2184"/>
      <c r="H65" s="2184"/>
      <c r="I65" s="2185"/>
      <c r="J65" s="2186" t="s">
        <v>1892</v>
      </c>
      <c r="K65" s="2186"/>
      <c r="L65" s="2186"/>
      <c r="M65" s="2187"/>
    </row>
    <row r="66" spans="1:13">
      <c r="A66" s="2191" t="s">
        <v>2113</v>
      </c>
      <c r="B66" s="2187"/>
      <c r="C66" s="2208" t="e">
        <f ca="1">_59P</f>
        <v>#DIV/0!</v>
      </c>
      <c r="D66" s="2208"/>
      <c r="E66" s="2183" t="s">
        <v>1886</v>
      </c>
      <c r="F66" s="2184"/>
      <c r="G66" s="2184"/>
      <c r="H66" s="2184"/>
      <c r="I66" s="2185"/>
      <c r="J66" s="2186" t="s">
        <v>1887</v>
      </c>
      <c r="K66" s="2186"/>
      <c r="L66" s="2186"/>
      <c r="M66" s="2187"/>
    </row>
    <row r="67" spans="1:13">
      <c r="A67" s="2191" t="s">
        <v>1345</v>
      </c>
      <c r="B67" s="2187"/>
      <c r="C67" s="2186" t="e">
        <f ca="1">_59N1P</f>
        <v>#DIV/0!</v>
      </c>
      <c r="D67" s="2186"/>
      <c r="E67" s="2183" t="s">
        <v>2114</v>
      </c>
      <c r="F67" s="2184"/>
      <c r="G67" s="2184"/>
      <c r="H67" s="2184"/>
      <c r="I67" s="2185"/>
      <c r="J67" s="2186" t="s">
        <v>1876</v>
      </c>
      <c r="K67" s="2186"/>
      <c r="L67" s="2186"/>
      <c r="M67" s="2187"/>
    </row>
    <row r="68" spans="1:13">
      <c r="A68" s="2191" t="s">
        <v>2115</v>
      </c>
      <c r="B68" s="2187"/>
      <c r="C68" s="2186">
        <f>_59N2P</f>
        <v>10</v>
      </c>
      <c r="D68" s="2186"/>
      <c r="E68" s="2183" t="s">
        <v>1889</v>
      </c>
      <c r="F68" s="2184"/>
      <c r="G68" s="2184"/>
      <c r="H68" s="2184"/>
      <c r="I68" s="2185"/>
      <c r="J68" s="2186" t="s">
        <v>1890</v>
      </c>
      <c r="K68" s="2186"/>
      <c r="L68" s="2186"/>
      <c r="M68" s="2187"/>
    </row>
    <row r="69" spans="1:13" ht="19.5" customHeight="1">
      <c r="A69" s="2191" t="s">
        <v>2116</v>
      </c>
      <c r="B69" s="2187"/>
      <c r="C69" s="2214" t="e">
        <f>_59SP</f>
        <v>#VALUE!</v>
      </c>
      <c r="D69" s="2215"/>
      <c r="E69" s="2183" t="s">
        <v>174</v>
      </c>
      <c r="F69" s="2184"/>
      <c r="G69" s="2184"/>
      <c r="H69" s="2184"/>
      <c r="I69" s="2185"/>
      <c r="J69" s="2186" t="s">
        <v>174</v>
      </c>
      <c r="K69" s="2186"/>
      <c r="L69" s="2186"/>
      <c r="M69" s="2187"/>
    </row>
    <row r="70" spans="1:13">
      <c r="A70" s="2191" t="s">
        <v>1340</v>
      </c>
      <c r="B70" s="2187"/>
      <c r="C70" s="2186" t="e">
        <f ca="1">_27PP</f>
        <v>#DIV/0!</v>
      </c>
      <c r="D70" s="2186"/>
      <c r="E70" s="2183" t="s">
        <v>2117</v>
      </c>
      <c r="F70" s="2184"/>
      <c r="G70" s="2184"/>
      <c r="H70" s="2184"/>
      <c r="I70" s="2185"/>
      <c r="J70" s="2186" t="s">
        <v>1878</v>
      </c>
      <c r="K70" s="2186"/>
      <c r="L70" s="2186"/>
      <c r="M70" s="2187"/>
    </row>
    <row r="71" spans="1:13" s="692" customFormat="1">
      <c r="A71" s="2236" t="s">
        <v>2007</v>
      </c>
      <c r="B71" s="2237"/>
      <c r="C71" s="2238">
        <f>_BFPU1</f>
        <v>10</v>
      </c>
      <c r="D71" s="2238"/>
      <c r="E71" s="2239" t="s">
        <v>1811</v>
      </c>
      <c r="F71" s="2240"/>
      <c r="G71" s="2240"/>
      <c r="H71" s="2240"/>
      <c r="I71" s="2241"/>
      <c r="J71" s="2238" t="s">
        <v>1812</v>
      </c>
      <c r="K71" s="2238"/>
      <c r="L71" s="2238"/>
      <c r="M71" s="2237"/>
    </row>
    <row r="72" spans="1:13" s="692" customFormat="1">
      <c r="A72" s="2236" t="s">
        <v>2118</v>
      </c>
      <c r="B72" s="2237"/>
      <c r="C72" s="2238">
        <f>_SV7PU</f>
        <v>40</v>
      </c>
      <c r="D72" s="2238"/>
      <c r="E72" s="2239" t="s">
        <v>1897</v>
      </c>
      <c r="F72" s="2240"/>
      <c r="G72" s="2240"/>
      <c r="H72" s="2240"/>
      <c r="I72" s="2241"/>
      <c r="J72" s="2238" t="s">
        <v>1898</v>
      </c>
      <c r="K72" s="2238"/>
      <c r="L72" s="2238"/>
      <c r="M72" s="2237"/>
    </row>
    <row r="73" spans="1:13">
      <c r="A73" s="2191" t="s">
        <v>2119</v>
      </c>
      <c r="B73" s="2187"/>
      <c r="C73" s="2246">
        <v>0</v>
      </c>
      <c r="D73" s="2247"/>
      <c r="E73" s="2183" t="s">
        <v>1883</v>
      </c>
      <c r="F73" s="2184"/>
      <c r="G73" s="2184"/>
      <c r="H73" s="2184"/>
      <c r="I73" s="2185"/>
      <c r="J73" s="2191" t="s">
        <v>1884</v>
      </c>
      <c r="K73" s="2186"/>
      <c r="L73" s="2186"/>
      <c r="M73" s="2187"/>
    </row>
    <row r="74" spans="1:13">
      <c r="A74" s="2191" t="s">
        <v>2120</v>
      </c>
      <c r="B74" s="2187"/>
      <c r="C74" s="2246">
        <v>1</v>
      </c>
      <c r="D74" s="2247"/>
      <c r="E74" s="2183" t="s">
        <v>1883</v>
      </c>
      <c r="F74" s="2184"/>
      <c r="G74" s="2184"/>
      <c r="H74" s="2184"/>
      <c r="I74" s="2185"/>
      <c r="J74" s="2191" t="s">
        <v>1884</v>
      </c>
      <c r="K74" s="2186"/>
      <c r="L74" s="2186"/>
      <c r="M74" s="2187"/>
    </row>
    <row r="75" spans="1:13">
      <c r="A75" s="2191" t="s">
        <v>2121</v>
      </c>
      <c r="B75" s="2187"/>
      <c r="C75" s="2238">
        <f>_SET16</f>
        <v>0</v>
      </c>
      <c r="D75" s="2238"/>
      <c r="E75" s="2183" t="s">
        <v>1880</v>
      </c>
      <c r="F75" s="2184"/>
      <c r="G75" s="2184"/>
      <c r="H75" s="2184"/>
      <c r="I75" s="2185"/>
      <c r="J75" s="2186" t="s">
        <v>1881</v>
      </c>
      <c r="K75" s="2186"/>
      <c r="L75" s="2186"/>
      <c r="M75" s="2187"/>
    </row>
    <row r="76" spans="1:13">
      <c r="A76" s="2191" t="s">
        <v>2122</v>
      </c>
      <c r="B76" s="2187"/>
      <c r="C76" s="2238">
        <f>IF(C75=0,1,0)</f>
        <v>1</v>
      </c>
      <c r="D76" s="2238"/>
      <c r="E76" s="2183" t="s">
        <v>1880</v>
      </c>
      <c r="F76" s="2184"/>
      <c r="G76" s="2184"/>
      <c r="H76" s="2184"/>
      <c r="I76" s="2185"/>
      <c r="J76" s="2186" t="s">
        <v>1881</v>
      </c>
      <c r="K76" s="2186"/>
      <c r="L76" s="2186"/>
      <c r="M76" s="2187"/>
    </row>
    <row r="77" spans="1:13" s="692" customFormat="1">
      <c r="A77" s="2236" t="s">
        <v>1775</v>
      </c>
      <c r="B77" s="2237"/>
      <c r="C77" s="2238" t="str">
        <f>'10) SOTF'!Q42</f>
        <v>(27A+27B+27C)*SOTFE</v>
      </c>
      <c r="D77" s="2238"/>
      <c r="E77" s="2239" t="s">
        <v>1776</v>
      </c>
      <c r="F77" s="2240"/>
      <c r="G77" s="2240"/>
      <c r="H77" s="2240"/>
      <c r="I77" s="2241"/>
      <c r="J77" s="2238" t="s">
        <v>1777</v>
      </c>
      <c r="K77" s="2238"/>
      <c r="L77" s="2238"/>
      <c r="M77" s="2237"/>
    </row>
    <row r="78" spans="1:13">
      <c r="A78" s="2191"/>
      <c r="B78" s="2187"/>
      <c r="C78" s="2186"/>
      <c r="D78" s="2186"/>
      <c r="E78" s="2183"/>
      <c r="F78" s="2184"/>
      <c r="G78" s="2184"/>
      <c r="H78" s="2184"/>
      <c r="I78" s="2185"/>
      <c r="J78" s="2186"/>
      <c r="K78" s="2186"/>
      <c r="L78" s="2186"/>
      <c r="M78" s="2187"/>
    </row>
    <row r="79" spans="1:13">
      <c r="A79" s="2191"/>
      <c r="B79" s="2187"/>
      <c r="C79" s="2186"/>
      <c r="D79" s="2186"/>
      <c r="E79" s="2183"/>
      <c r="F79" s="2184"/>
      <c r="G79" s="2184"/>
      <c r="H79" s="2184"/>
      <c r="I79" s="2185"/>
      <c r="J79" s="2186"/>
      <c r="K79" s="2186"/>
      <c r="L79" s="2186"/>
      <c r="M79" s="2187"/>
    </row>
    <row r="80" spans="1:13">
      <c r="A80" s="2191"/>
      <c r="B80" s="2187"/>
      <c r="C80" s="2186"/>
      <c r="D80" s="2186"/>
      <c r="E80" s="2183"/>
      <c r="F80" s="2184"/>
      <c r="G80" s="2184"/>
      <c r="H80" s="2184"/>
      <c r="I80" s="2185"/>
      <c r="J80" s="2186"/>
      <c r="K80" s="2186"/>
      <c r="L80" s="2186"/>
      <c r="M80" s="2187"/>
    </row>
    <row r="81" spans="1:13">
      <c r="A81" s="2191"/>
      <c r="B81" s="2187"/>
      <c r="C81" s="2186"/>
      <c r="D81" s="2186"/>
      <c r="E81" s="2183"/>
      <c r="F81" s="2184"/>
      <c r="G81" s="2184"/>
      <c r="H81" s="2184"/>
      <c r="I81" s="2185"/>
      <c r="J81" s="2186"/>
      <c r="K81" s="2186"/>
      <c r="L81" s="2186"/>
      <c r="M81" s="2187"/>
    </row>
    <row r="82" spans="1:13">
      <c r="A82" s="2191"/>
      <c r="B82" s="2187"/>
      <c r="C82" s="2186"/>
      <c r="D82" s="2186"/>
      <c r="E82" s="2183"/>
      <c r="F82" s="2184"/>
      <c r="G82" s="2184"/>
      <c r="H82" s="2184"/>
      <c r="I82" s="2185"/>
      <c r="J82" s="2186"/>
      <c r="K82" s="2186"/>
      <c r="L82" s="2186"/>
      <c r="M82" s="2187"/>
    </row>
    <row r="83" spans="1:13">
      <c r="A83" s="2191"/>
      <c r="B83" s="2187"/>
      <c r="C83" s="2186"/>
      <c r="D83" s="2186"/>
      <c r="E83" s="2183"/>
      <c r="F83" s="2184"/>
      <c r="G83" s="2184"/>
      <c r="H83" s="2184"/>
      <c r="I83" s="2185"/>
      <c r="J83" s="2186"/>
      <c r="K83" s="2186"/>
      <c r="L83" s="2186"/>
      <c r="M83" s="2187"/>
    </row>
    <row r="84" spans="1:13">
      <c r="A84" s="2191"/>
      <c r="B84" s="2187"/>
      <c r="C84" s="2186"/>
      <c r="D84" s="2186"/>
      <c r="E84" s="2183"/>
      <c r="F84" s="2184"/>
      <c r="G84" s="2184"/>
      <c r="H84" s="2184"/>
      <c r="I84" s="2185"/>
      <c r="J84" s="2186"/>
      <c r="K84" s="2186"/>
      <c r="L84" s="2186"/>
      <c r="M84" s="2187"/>
    </row>
    <row r="85" spans="1:13">
      <c r="A85" s="2191"/>
      <c r="B85" s="2187"/>
      <c r="C85" s="2186"/>
      <c r="D85" s="2186"/>
      <c r="E85" s="2183"/>
      <c r="F85" s="2184"/>
      <c r="G85" s="2184"/>
      <c r="H85" s="2184"/>
      <c r="I85" s="2185"/>
      <c r="J85" s="2186"/>
      <c r="K85" s="2186"/>
      <c r="L85" s="2186"/>
      <c r="M85" s="2187"/>
    </row>
    <row r="86" spans="1:13">
      <c r="A86" s="2191"/>
      <c r="B86" s="2187"/>
      <c r="C86" s="2186"/>
      <c r="D86" s="2186"/>
      <c r="E86" s="2183"/>
      <c r="F86" s="2184"/>
      <c r="G86" s="2184"/>
      <c r="H86" s="2184"/>
      <c r="I86" s="2185"/>
      <c r="J86" s="2186"/>
      <c r="K86" s="2186"/>
      <c r="L86" s="2186"/>
      <c r="M86" s="2187"/>
    </row>
    <row r="87" spans="1:13">
      <c r="A87" s="2191"/>
      <c r="B87" s="2187"/>
      <c r="C87" s="2186"/>
      <c r="D87" s="2186"/>
      <c r="E87" s="2183"/>
      <c r="F87" s="2184"/>
      <c r="G87" s="2184"/>
      <c r="H87" s="2184"/>
      <c r="I87" s="2185"/>
      <c r="J87" s="2186"/>
      <c r="K87" s="2186"/>
      <c r="L87" s="2186"/>
      <c r="M87" s="2187"/>
    </row>
    <row r="88" spans="1:13">
      <c r="A88" s="2191"/>
      <c r="B88" s="2187"/>
      <c r="C88" s="2186"/>
      <c r="D88" s="2186"/>
      <c r="E88" s="2183"/>
      <c r="F88" s="2184"/>
      <c r="G88" s="2184"/>
      <c r="H88" s="2184"/>
      <c r="I88" s="2185"/>
      <c r="J88" s="2186"/>
      <c r="K88" s="2186"/>
      <c r="L88" s="2186"/>
      <c r="M88" s="2187"/>
    </row>
    <row r="89" spans="1:13">
      <c r="A89" s="2191"/>
      <c r="B89" s="2187"/>
      <c r="C89" s="2186"/>
      <c r="D89" s="2186"/>
      <c r="E89" s="2183"/>
      <c r="F89" s="2184"/>
      <c r="G89" s="2184"/>
      <c r="H89" s="2184"/>
      <c r="I89" s="2185"/>
      <c r="J89" s="2186"/>
      <c r="K89" s="2186"/>
      <c r="L89" s="2186"/>
      <c r="M89" s="2187"/>
    </row>
    <row r="90" spans="1:13">
      <c r="A90" s="2191"/>
      <c r="B90" s="2187"/>
      <c r="C90" s="2186"/>
      <c r="D90" s="2186"/>
      <c r="E90" s="2183"/>
      <c r="F90" s="2184"/>
      <c r="G90" s="2184"/>
      <c r="H90" s="2184"/>
      <c r="I90" s="2185"/>
      <c r="J90" s="2186"/>
      <c r="K90" s="2186"/>
      <c r="L90" s="2186"/>
      <c r="M90" s="2187"/>
    </row>
    <row r="91" spans="1:13">
      <c r="A91" s="2191"/>
      <c r="B91" s="2187"/>
      <c r="C91" s="2186"/>
      <c r="D91" s="2186"/>
      <c r="E91" s="2183"/>
      <c r="F91" s="2184"/>
      <c r="G91" s="2184"/>
      <c r="H91" s="2184"/>
      <c r="I91" s="2185"/>
      <c r="J91" s="2186"/>
      <c r="K91" s="2186"/>
      <c r="L91" s="2186"/>
      <c r="M91" s="2187"/>
    </row>
    <row r="92" spans="1:13">
      <c r="A92" s="2191"/>
      <c r="B92" s="2187"/>
      <c r="C92" s="2186"/>
      <c r="D92" s="2186"/>
      <c r="E92" s="2183"/>
      <c r="F92" s="2184"/>
      <c r="G92" s="2184"/>
      <c r="H92" s="2184"/>
      <c r="I92" s="2185"/>
      <c r="J92" s="2186"/>
      <c r="K92" s="2186"/>
      <c r="L92" s="2186"/>
      <c r="M92" s="2187"/>
    </row>
    <row r="93" spans="1:13">
      <c r="A93" s="2191"/>
      <c r="B93" s="2187"/>
      <c r="C93" s="2186"/>
      <c r="D93" s="2186"/>
      <c r="E93" s="2183"/>
      <c r="F93" s="2184"/>
      <c r="G93" s="2184"/>
      <c r="H93" s="2184"/>
      <c r="I93" s="2185"/>
      <c r="J93" s="2186"/>
      <c r="K93" s="2186"/>
      <c r="L93" s="2186"/>
      <c r="M93" s="2187"/>
    </row>
    <row r="94" spans="1:13">
      <c r="A94" s="2191"/>
      <c r="B94" s="2187"/>
      <c r="C94" s="2186"/>
      <c r="D94" s="2186"/>
      <c r="E94" s="2183"/>
      <c r="F94" s="2184"/>
      <c r="G94" s="2184"/>
      <c r="H94" s="2184"/>
      <c r="I94" s="2185"/>
      <c r="J94" s="2186"/>
      <c r="K94" s="2186"/>
      <c r="L94" s="2186"/>
      <c r="M94" s="2187"/>
    </row>
    <row r="95" spans="1:13">
      <c r="A95" s="2191"/>
      <c r="B95" s="2187"/>
      <c r="C95" s="2186"/>
      <c r="D95" s="2186"/>
      <c r="E95" s="2183"/>
      <c r="F95" s="2184"/>
      <c r="G95" s="2184"/>
      <c r="H95" s="2184"/>
      <c r="I95" s="2185"/>
      <c r="J95" s="2186"/>
      <c r="K95" s="2186"/>
      <c r="L95" s="2186"/>
      <c r="M95" s="2187"/>
    </row>
    <row r="96" spans="1:13">
      <c r="A96" s="2191"/>
      <c r="B96" s="2187"/>
      <c r="C96" s="2186"/>
      <c r="D96" s="2186"/>
      <c r="E96" s="2183"/>
      <c r="F96" s="2184"/>
      <c r="G96" s="2184"/>
      <c r="H96" s="2184"/>
      <c r="I96" s="2185"/>
      <c r="J96" s="2186"/>
      <c r="K96" s="2186"/>
      <c r="L96" s="2186"/>
      <c r="M96" s="2187"/>
    </row>
    <row r="97" spans="1:13">
      <c r="A97" s="2191"/>
      <c r="B97" s="2187"/>
      <c r="C97" s="2186"/>
      <c r="D97" s="2186"/>
      <c r="E97" s="2183"/>
      <c r="F97" s="2184"/>
      <c r="G97" s="2184"/>
      <c r="H97" s="2184"/>
      <c r="I97" s="2185"/>
      <c r="J97" s="2186"/>
      <c r="K97" s="2186"/>
      <c r="L97" s="2186"/>
      <c r="M97" s="2187"/>
    </row>
    <row r="98" spans="1:13">
      <c r="A98" s="2191"/>
      <c r="B98" s="2187"/>
      <c r="C98" s="2186"/>
      <c r="D98" s="2186"/>
      <c r="E98" s="2183"/>
      <c r="F98" s="2184"/>
      <c r="G98" s="2184"/>
      <c r="H98" s="2184"/>
      <c r="I98" s="2185"/>
      <c r="J98" s="2186"/>
      <c r="K98" s="2186"/>
      <c r="L98" s="2186"/>
      <c r="M98" s="2187"/>
    </row>
    <row r="99" spans="1:13">
      <c r="A99" s="2191"/>
      <c r="B99" s="2187"/>
      <c r="C99" s="2186"/>
      <c r="D99" s="2186"/>
      <c r="E99" s="2183"/>
      <c r="F99" s="2184"/>
      <c r="G99" s="2184"/>
      <c r="H99" s="2184"/>
      <c r="I99" s="2185"/>
      <c r="J99" s="2186"/>
      <c r="K99" s="2186"/>
      <c r="L99" s="2186"/>
      <c r="M99" s="2187"/>
    </row>
    <row r="100" spans="1:13">
      <c r="A100" s="2191"/>
      <c r="B100" s="2187"/>
      <c r="C100" s="2186"/>
      <c r="D100" s="2186"/>
      <c r="E100" s="2183"/>
      <c r="F100" s="2184"/>
      <c r="G100" s="2184"/>
      <c r="H100" s="2184"/>
      <c r="I100" s="2185"/>
      <c r="J100" s="2186"/>
      <c r="K100" s="2186"/>
      <c r="L100" s="2186"/>
      <c r="M100" s="2187"/>
    </row>
    <row r="101" spans="1:13">
      <c r="A101" s="2191"/>
      <c r="B101" s="2187"/>
      <c r="C101" s="2186"/>
      <c r="D101" s="2186"/>
      <c r="E101" s="2183"/>
      <c r="F101" s="2184"/>
      <c r="G101" s="2184"/>
      <c r="H101" s="2184"/>
      <c r="I101" s="2185"/>
      <c r="J101" s="2186"/>
      <c r="K101" s="2186"/>
      <c r="L101" s="2186"/>
      <c r="M101" s="2187"/>
    </row>
    <row r="102" spans="1:13">
      <c r="A102" s="2191"/>
      <c r="B102" s="2187"/>
      <c r="C102" s="2186"/>
      <c r="D102" s="2186"/>
      <c r="E102" s="2183"/>
      <c r="F102" s="2184"/>
      <c r="G102" s="2184"/>
      <c r="H102" s="2184"/>
      <c r="I102" s="2185"/>
      <c r="J102" s="2186"/>
      <c r="K102" s="2186"/>
      <c r="L102" s="2186"/>
      <c r="M102" s="2187"/>
    </row>
    <row r="103" spans="1:13">
      <c r="A103" s="2191"/>
      <c r="B103" s="2187"/>
      <c r="C103" s="2186"/>
      <c r="D103" s="2186"/>
      <c r="E103" s="2183"/>
      <c r="F103" s="2184"/>
      <c r="G103" s="2184"/>
      <c r="H103" s="2184"/>
      <c r="I103" s="2185"/>
      <c r="J103" s="2186"/>
      <c r="K103" s="2186"/>
      <c r="L103" s="2186"/>
      <c r="M103" s="2187"/>
    </row>
    <row r="104" spans="1:13">
      <c r="A104" s="2191"/>
      <c r="B104" s="2187"/>
      <c r="C104" s="2186"/>
      <c r="D104" s="2186"/>
      <c r="E104" s="2183"/>
      <c r="F104" s="2184"/>
      <c r="G104" s="2184"/>
      <c r="H104" s="2184"/>
      <c r="I104" s="2185"/>
      <c r="J104" s="2186"/>
      <c r="K104" s="2186"/>
      <c r="L104" s="2186"/>
      <c r="M104" s="2187"/>
    </row>
    <row r="105" spans="1:13">
      <c r="A105" s="2191"/>
      <c r="B105" s="2187"/>
      <c r="C105" s="2186"/>
      <c r="D105" s="2186"/>
      <c r="E105" s="2183"/>
      <c r="F105" s="2184"/>
      <c r="G105" s="2184"/>
      <c r="H105" s="2184"/>
      <c r="I105" s="2185"/>
      <c r="J105" s="2186"/>
      <c r="K105" s="2186"/>
      <c r="L105" s="2186"/>
      <c r="M105" s="2187"/>
    </row>
    <row r="106" spans="1:13">
      <c r="A106" s="2191"/>
      <c r="B106" s="2187"/>
      <c r="C106" s="2186"/>
      <c r="D106" s="2186"/>
      <c r="E106" s="2183"/>
      <c r="F106" s="2184"/>
      <c r="G106" s="2184"/>
      <c r="H106" s="2184"/>
      <c r="I106" s="2185"/>
      <c r="J106" s="2186"/>
      <c r="K106" s="2186"/>
      <c r="L106" s="2186"/>
      <c r="M106" s="2187"/>
    </row>
    <row r="107" spans="1:13">
      <c r="A107" s="2191"/>
      <c r="B107" s="2187"/>
      <c r="C107" s="2186"/>
      <c r="D107" s="2186"/>
      <c r="E107" s="2183"/>
      <c r="F107" s="2184"/>
      <c r="G107" s="2184"/>
      <c r="H107" s="2184"/>
      <c r="I107" s="2185"/>
      <c r="J107" s="2186"/>
      <c r="K107" s="2186"/>
      <c r="L107" s="2186"/>
      <c r="M107" s="2187"/>
    </row>
    <row r="108" spans="1:13">
      <c r="A108" s="2191"/>
      <c r="B108" s="2187"/>
      <c r="C108" s="2186"/>
      <c r="D108" s="2186"/>
      <c r="E108" s="2183"/>
      <c r="F108" s="2184"/>
      <c r="G108" s="2184"/>
      <c r="H108" s="2184"/>
      <c r="I108" s="2185"/>
      <c r="J108" s="2186"/>
      <c r="K108" s="2186"/>
      <c r="L108" s="2186"/>
      <c r="M108" s="2187"/>
    </row>
    <row r="109" spans="1:13">
      <c r="A109" s="2191"/>
      <c r="B109" s="2187"/>
      <c r="C109" s="2186"/>
      <c r="D109" s="2186"/>
      <c r="E109" s="2183"/>
      <c r="F109" s="2184"/>
      <c r="G109" s="2184"/>
      <c r="H109" s="2184"/>
      <c r="I109" s="2185"/>
      <c r="J109" s="2186"/>
      <c r="K109" s="2186"/>
      <c r="L109" s="2186"/>
      <c r="M109" s="2187"/>
    </row>
    <row r="110" spans="1:13">
      <c r="A110" s="2191"/>
      <c r="B110" s="2187"/>
      <c r="C110" s="2186"/>
      <c r="D110" s="2186"/>
      <c r="E110" s="2183"/>
      <c r="F110" s="2184"/>
      <c r="G110" s="2184"/>
      <c r="H110" s="2184"/>
      <c r="I110" s="2185"/>
      <c r="J110" s="2186"/>
      <c r="K110" s="2186"/>
      <c r="L110" s="2186"/>
      <c r="M110" s="2187"/>
    </row>
    <row r="111" spans="1:13">
      <c r="A111" s="2191"/>
      <c r="B111" s="2187"/>
      <c r="C111" s="2186"/>
      <c r="D111" s="2186"/>
      <c r="E111" s="2183"/>
      <c r="F111" s="2184"/>
      <c r="G111" s="2184"/>
      <c r="H111" s="2184"/>
      <c r="I111" s="2185"/>
      <c r="J111" s="2186"/>
      <c r="K111" s="2186"/>
      <c r="L111" s="2186"/>
      <c r="M111" s="2187"/>
    </row>
    <row r="112" spans="1:13">
      <c r="A112" s="2191"/>
      <c r="B112" s="2187"/>
      <c r="C112" s="2186"/>
      <c r="D112" s="2186"/>
      <c r="E112" s="2183"/>
      <c r="F112" s="2184"/>
      <c r="G112" s="2184"/>
      <c r="H112" s="2184"/>
      <c r="I112" s="2185"/>
      <c r="J112" s="2186"/>
      <c r="K112" s="2186"/>
      <c r="L112" s="2186"/>
      <c r="M112" s="2187"/>
    </row>
    <row r="113" spans="1:13">
      <c r="A113" s="2191"/>
      <c r="B113" s="2187"/>
      <c r="C113" s="2186"/>
      <c r="D113" s="2186"/>
      <c r="E113" s="2183"/>
      <c r="F113" s="2184"/>
      <c r="G113" s="2184"/>
      <c r="H113" s="2184"/>
      <c r="I113" s="2185"/>
      <c r="J113" s="2186"/>
      <c r="K113" s="2186"/>
      <c r="L113" s="2186"/>
      <c r="M113" s="2187"/>
    </row>
    <row r="114" spans="1:13">
      <c r="A114" s="2191"/>
      <c r="B114" s="2187"/>
      <c r="C114" s="2186"/>
      <c r="D114" s="2186"/>
      <c r="E114" s="2183"/>
      <c r="F114" s="2184"/>
      <c r="G114" s="2184"/>
      <c r="H114" s="2184"/>
      <c r="I114" s="2185"/>
      <c r="J114" s="2186"/>
      <c r="K114" s="2186"/>
      <c r="L114" s="2186"/>
      <c r="M114" s="2187"/>
    </row>
    <row r="115" spans="1:13">
      <c r="A115" s="2191"/>
      <c r="B115" s="2187"/>
      <c r="C115" s="2186"/>
      <c r="D115" s="2186"/>
      <c r="E115" s="2183"/>
      <c r="F115" s="2184"/>
      <c r="G115" s="2184"/>
      <c r="H115" s="2184"/>
      <c r="I115" s="2185"/>
      <c r="J115" s="2186"/>
      <c r="K115" s="2186"/>
      <c r="L115" s="2186"/>
      <c r="M115" s="2187"/>
    </row>
    <row r="116" spans="1:13">
      <c r="A116" s="2191"/>
      <c r="B116" s="2187"/>
      <c r="C116" s="2186"/>
      <c r="D116" s="2186"/>
      <c r="E116" s="2183"/>
      <c r="F116" s="2184"/>
      <c r="G116" s="2184"/>
      <c r="H116" s="2184"/>
      <c r="I116" s="2185"/>
      <c r="J116" s="2186"/>
      <c r="K116" s="2186"/>
      <c r="L116" s="2186"/>
      <c r="M116" s="2187"/>
    </row>
    <row r="117" spans="1:13">
      <c r="A117" s="2191"/>
      <c r="B117" s="2187"/>
      <c r="C117" s="2186"/>
      <c r="D117" s="2186"/>
      <c r="E117" s="2183"/>
      <c r="F117" s="2184"/>
      <c r="G117" s="2184"/>
      <c r="H117" s="2184"/>
      <c r="I117" s="2185"/>
      <c r="J117" s="2186"/>
      <c r="K117" s="2186"/>
      <c r="L117" s="2186"/>
      <c r="M117" s="2187"/>
    </row>
    <row r="118" spans="1:13">
      <c r="A118" s="2191"/>
      <c r="B118" s="2187"/>
      <c r="C118" s="2186"/>
      <c r="D118" s="2186"/>
      <c r="E118" s="2183"/>
      <c r="F118" s="2184"/>
      <c r="G118" s="2184"/>
      <c r="H118" s="2184"/>
      <c r="I118" s="2185"/>
      <c r="J118" s="2186"/>
      <c r="K118" s="2186"/>
      <c r="L118" s="2186"/>
      <c r="M118" s="2187"/>
    </row>
    <row r="119" spans="1:13">
      <c r="A119" s="2191"/>
      <c r="B119" s="2187"/>
      <c r="C119" s="2186"/>
      <c r="D119" s="2186"/>
      <c r="E119" s="2183"/>
      <c r="F119" s="2184"/>
      <c r="G119" s="2184"/>
      <c r="H119" s="2184"/>
      <c r="I119" s="2185"/>
      <c r="J119" s="2186"/>
      <c r="K119" s="2186"/>
      <c r="L119" s="2186"/>
      <c r="M119" s="2187"/>
    </row>
    <row r="120" spans="1:13">
      <c r="A120" s="2191"/>
      <c r="B120" s="2187"/>
      <c r="C120" s="2186"/>
      <c r="D120" s="2186"/>
      <c r="E120" s="2183"/>
      <c r="F120" s="2184"/>
      <c r="G120" s="2184"/>
      <c r="H120" s="2184"/>
      <c r="I120" s="2185"/>
      <c r="J120" s="2186"/>
      <c r="K120" s="2186"/>
      <c r="L120" s="2186"/>
      <c r="M120" s="2187"/>
    </row>
    <row r="121" spans="1:13">
      <c r="A121" s="2191"/>
      <c r="B121" s="2187"/>
      <c r="C121" s="2186"/>
      <c r="D121" s="2186"/>
      <c r="E121" s="2183"/>
      <c r="F121" s="2184"/>
      <c r="G121" s="2184"/>
      <c r="H121" s="2184"/>
      <c r="I121" s="2185"/>
      <c r="J121" s="2186"/>
      <c r="K121" s="2186"/>
      <c r="L121" s="2186"/>
      <c r="M121" s="2187"/>
    </row>
    <row r="122" spans="1:13">
      <c r="A122" s="2191"/>
      <c r="B122" s="2187"/>
      <c r="C122" s="2186"/>
      <c r="D122" s="2186"/>
      <c r="E122" s="2183"/>
      <c r="F122" s="2184"/>
      <c r="G122" s="2184"/>
      <c r="H122" s="2184"/>
      <c r="I122" s="2185"/>
      <c r="J122" s="2186"/>
      <c r="K122" s="2186"/>
      <c r="L122" s="2186"/>
      <c r="M122" s="2187"/>
    </row>
    <row r="123" spans="1:13">
      <c r="A123" s="2191"/>
      <c r="B123" s="2187"/>
      <c r="C123" s="2186"/>
      <c r="D123" s="2186"/>
      <c r="E123" s="2183"/>
      <c r="F123" s="2184"/>
      <c r="G123" s="2184"/>
      <c r="H123" s="2184"/>
      <c r="I123" s="2185"/>
      <c r="J123" s="2186"/>
      <c r="K123" s="2186"/>
      <c r="L123" s="2186"/>
      <c r="M123" s="2187"/>
    </row>
    <row r="124" spans="1:13">
      <c r="A124" s="2191"/>
      <c r="B124" s="2187"/>
      <c r="C124" s="2186"/>
      <c r="D124" s="2186"/>
      <c r="E124" s="2183"/>
      <c r="F124" s="2184"/>
      <c r="G124" s="2184"/>
      <c r="H124" s="2184"/>
      <c r="I124" s="2185"/>
      <c r="J124" s="2186"/>
      <c r="K124" s="2186"/>
      <c r="L124" s="2186"/>
      <c r="M124" s="2187"/>
    </row>
    <row r="125" spans="1:13">
      <c r="A125" s="2191"/>
      <c r="B125" s="2187"/>
      <c r="C125" s="2186"/>
      <c r="D125" s="2186"/>
      <c r="E125" s="2183"/>
      <c r="F125" s="2184"/>
      <c r="G125" s="2184"/>
      <c r="H125" s="2184"/>
      <c r="I125" s="2185"/>
      <c r="J125" s="2186"/>
      <c r="K125" s="2186"/>
      <c r="L125" s="2186"/>
      <c r="M125" s="2187"/>
    </row>
    <row r="126" spans="1:13">
      <c r="A126" s="2191"/>
      <c r="B126" s="2187"/>
      <c r="C126" s="2186"/>
      <c r="D126" s="2186"/>
      <c r="E126" s="2183"/>
      <c r="F126" s="2184"/>
      <c r="G126" s="2184"/>
      <c r="H126" s="2184"/>
      <c r="I126" s="2185"/>
      <c r="J126" s="2186"/>
      <c r="K126" s="2186"/>
      <c r="L126" s="2186"/>
      <c r="M126" s="2187"/>
    </row>
    <row r="127" spans="1:13">
      <c r="A127" s="2191"/>
      <c r="B127" s="2187"/>
      <c r="C127" s="2186"/>
      <c r="D127" s="2186"/>
      <c r="E127" s="2183"/>
      <c r="F127" s="2184"/>
      <c r="G127" s="2184"/>
      <c r="H127" s="2184"/>
      <c r="I127" s="2185"/>
      <c r="J127" s="2186"/>
      <c r="K127" s="2186"/>
      <c r="L127" s="2186"/>
      <c r="M127" s="2187"/>
    </row>
    <row r="128" spans="1:13">
      <c r="A128" s="2191"/>
      <c r="B128" s="2187"/>
      <c r="C128" s="2186"/>
      <c r="D128" s="2186"/>
      <c r="E128" s="2183"/>
      <c r="F128" s="2184"/>
      <c r="G128" s="2184"/>
      <c r="H128" s="2184"/>
      <c r="I128" s="2185"/>
      <c r="J128" s="2186"/>
      <c r="K128" s="2186"/>
      <c r="L128" s="2186"/>
      <c r="M128" s="2187"/>
    </row>
    <row r="129" spans="1:13">
      <c r="A129" s="2191"/>
      <c r="B129" s="2187"/>
      <c r="C129" s="2186"/>
      <c r="D129" s="2186"/>
      <c r="E129" s="2183"/>
      <c r="F129" s="2184"/>
      <c r="G129" s="2184"/>
      <c r="H129" s="2184"/>
      <c r="I129" s="2185"/>
      <c r="J129" s="2186"/>
      <c r="K129" s="2186"/>
      <c r="L129" s="2186"/>
      <c r="M129" s="2187"/>
    </row>
    <row r="130" spans="1:13">
      <c r="A130" s="2191"/>
      <c r="B130" s="2187"/>
      <c r="C130" s="2186"/>
      <c r="D130" s="2186"/>
      <c r="E130" s="2183"/>
      <c r="F130" s="2184"/>
      <c r="G130" s="2184"/>
      <c r="H130" s="2184"/>
      <c r="I130" s="2185"/>
      <c r="J130" s="2186"/>
      <c r="K130" s="2186"/>
      <c r="L130" s="2186"/>
      <c r="M130" s="2187"/>
    </row>
    <row r="131" spans="1:13">
      <c r="A131" s="2191"/>
      <c r="B131" s="2187"/>
      <c r="C131" s="2186"/>
      <c r="D131" s="2186"/>
      <c r="E131" s="2183"/>
      <c r="F131" s="2184"/>
      <c r="G131" s="2184"/>
      <c r="H131" s="2184"/>
      <c r="I131" s="2185"/>
      <c r="J131" s="2186"/>
      <c r="K131" s="2186"/>
      <c r="L131" s="2186"/>
      <c r="M131" s="2187"/>
    </row>
    <row r="132" spans="1:13">
      <c r="A132" s="2191"/>
      <c r="B132" s="2187"/>
      <c r="C132" s="2186"/>
      <c r="D132" s="2186"/>
      <c r="E132" s="2183"/>
      <c r="F132" s="2184"/>
      <c r="G132" s="2184"/>
      <c r="H132" s="2184"/>
      <c r="I132" s="2185"/>
      <c r="J132" s="2186"/>
      <c r="K132" s="2186"/>
      <c r="L132" s="2186"/>
      <c r="M132" s="2187"/>
    </row>
    <row r="133" spans="1:13">
      <c r="A133" s="2191"/>
      <c r="B133" s="2187"/>
      <c r="C133" s="2186"/>
      <c r="D133" s="2186"/>
      <c r="E133" s="2183"/>
      <c r="F133" s="2184"/>
      <c r="G133" s="2184"/>
      <c r="H133" s="2184"/>
      <c r="I133" s="2185"/>
      <c r="J133" s="2186"/>
      <c r="K133" s="2186"/>
      <c r="L133" s="2186"/>
      <c r="M133" s="2187"/>
    </row>
    <row r="134" spans="1:13">
      <c r="A134" s="2191"/>
      <c r="B134" s="2187"/>
      <c r="C134" s="2186"/>
      <c r="D134" s="2186"/>
      <c r="E134" s="2183"/>
      <c r="F134" s="2184"/>
      <c r="G134" s="2184"/>
      <c r="H134" s="2184"/>
      <c r="I134" s="2185"/>
      <c r="J134" s="2186"/>
      <c r="K134" s="2186"/>
      <c r="L134" s="2186"/>
      <c r="M134" s="2187"/>
    </row>
    <row r="135" spans="1:13">
      <c r="A135" s="2191"/>
      <c r="B135" s="2187"/>
      <c r="C135" s="2186"/>
      <c r="D135" s="2186"/>
      <c r="E135" s="2183"/>
      <c r="F135" s="2184"/>
      <c r="G135" s="2184"/>
      <c r="H135" s="2184"/>
      <c r="I135" s="2185"/>
      <c r="J135" s="2186"/>
      <c r="K135" s="2186"/>
      <c r="L135" s="2186"/>
      <c r="M135" s="2187"/>
    </row>
    <row r="136" spans="1:13">
      <c r="A136" s="2191"/>
      <c r="B136" s="2187"/>
      <c r="C136" s="2186"/>
      <c r="D136" s="2186"/>
      <c r="E136" s="2183"/>
      <c r="F136" s="2184"/>
      <c r="G136" s="2184"/>
      <c r="H136" s="2184"/>
      <c r="I136" s="2185"/>
      <c r="J136" s="2186"/>
      <c r="K136" s="2186"/>
      <c r="L136" s="2186"/>
      <c r="M136" s="2187"/>
    </row>
    <row r="137" spans="1:13">
      <c r="A137" s="2191"/>
      <c r="B137" s="2187"/>
      <c r="C137" s="2186"/>
      <c r="D137" s="2186"/>
      <c r="E137" s="2183"/>
      <c r="F137" s="2184"/>
      <c r="G137" s="2184"/>
      <c r="H137" s="2184"/>
      <c r="I137" s="2185"/>
      <c r="J137" s="2186"/>
      <c r="K137" s="2186"/>
      <c r="L137" s="2186"/>
      <c r="M137" s="2187"/>
    </row>
    <row r="138" spans="1:13">
      <c r="A138" s="2191"/>
      <c r="B138" s="2187"/>
      <c r="C138" s="2186"/>
      <c r="D138" s="2186"/>
      <c r="E138" s="2183"/>
      <c r="F138" s="2184"/>
      <c r="G138" s="2184"/>
      <c r="H138" s="2184"/>
      <c r="I138" s="2185"/>
      <c r="J138" s="2186"/>
      <c r="K138" s="2186"/>
      <c r="L138" s="2186"/>
      <c r="M138" s="2187"/>
    </row>
    <row r="139" spans="1:13">
      <c r="A139" s="2191"/>
      <c r="B139" s="2187"/>
      <c r="C139" s="2186"/>
      <c r="D139" s="2186"/>
      <c r="E139" s="2183"/>
      <c r="F139" s="2184"/>
      <c r="G139" s="2184"/>
      <c r="H139" s="2184"/>
      <c r="I139" s="2185"/>
      <c r="J139" s="2186"/>
      <c r="K139" s="2186"/>
      <c r="L139" s="2186"/>
      <c r="M139" s="2187"/>
    </row>
    <row r="140" spans="1:13">
      <c r="A140" s="2191"/>
      <c r="B140" s="2187"/>
      <c r="C140" s="2186"/>
      <c r="D140" s="2186"/>
      <c r="E140" s="2183"/>
      <c r="F140" s="2184"/>
      <c r="G140" s="2184"/>
      <c r="H140" s="2184"/>
      <c r="I140" s="2185"/>
      <c r="J140" s="2186"/>
      <c r="K140" s="2186"/>
      <c r="L140" s="2186"/>
      <c r="M140" s="2187"/>
    </row>
    <row r="141" spans="1:13">
      <c r="A141" s="2191"/>
      <c r="B141" s="2187"/>
      <c r="C141" s="2186"/>
      <c r="D141" s="2186"/>
      <c r="E141" s="2183"/>
      <c r="F141" s="2184"/>
      <c r="G141" s="2184"/>
      <c r="H141" s="2184"/>
      <c r="I141" s="2185"/>
      <c r="J141" s="2186"/>
      <c r="K141" s="2186"/>
      <c r="L141" s="2186"/>
      <c r="M141" s="2187"/>
    </row>
    <row r="142" spans="1:13">
      <c r="A142" s="2191"/>
      <c r="B142" s="2187"/>
      <c r="C142" s="2186"/>
      <c r="D142" s="2186"/>
      <c r="E142" s="2183"/>
      <c r="F142" s="2184"/>
      <c r="G142" s="2184"/>
      <c r="H142" s="2184"/>
      <c r="I142" s="2185"/>
      <c r="J142" s="2186"/>
      <c r="K142" s="2186"/>
      <c r="L142" s="2186"/>
      <c r="M142" s="2187"/>
    </row>
    <row r="143" spans="1:13">
      <c r="A143" s="2191"/>
      <c r="B143" s="2187"/>
      <c r="C143" s="2186"/>
      <c r="D143" s="2186"/>
      <c r="E143" s="2183"/>
      <c r="F143" s="2184"/>
      <c r="G143" s="2184"/>
      <c r="H143" s="2184"/>
      <c r="I143" s="2185"/>
      <c r="J143" s="2186"/>
      <c r="K143" s="2186"/>
      <c r="L143" s="2186"/>
      <c r="M143" s="2187"/>
    </row>
    <row r="144" spans="1:13">
      <c r="A144" s="2191"/>
      <c r="B144" s="2187"/>
      <c r="C144" s="2186"/>
      <c r="D144" s="2186"/>
      <c r="E144" s="2183"/>
      <c r="F144" s="2184"/>
      <c r="G144" s="2184"/>
      <c r="H144" s="2184"/>
      <c r="I144" s="2185"/>
      <c r="J144" s="2186"/>
      <c r="K144" s="2186"/>
      <c r="L144" s="2186"/>
      <c r="M144" s="2187"/>
    </row>
    <row r="145" spans="1:13">
      <c r="A145" s="2191"/>
      <c r="B145" s="2187"/>
      <c r="C145" s="2186"/>
      <c r="D145" s="2186"/>
      <c r="E145" s="2183"/>
      <c r="F145" s="2184"/>
      <c r="G145" s="2184"/>
      <c r="H145" s="2184"/>
      <c r="I145" s="2185"/>
      <c r="J145" s="2186"/>
      <c r="K145" s="2186"/>
      <c r="L145" s="2186"/>
      <c r="M145" s="2187"/>
    </row>
    <row r="146" spans="1:13">
      <c r="A146" s="2191"/>
      <c r="B146" s="2187"/>
      <c r="C146" s="2186"/>
      <c r="D146" s="2186"/>
      <c r="E146" s="2183"/>
      <c r="F146" s="2184"/>
      <c r="G146" s="2184"/>
      <c r="H146" s="2184"/>
      <c r="I146" s="2185"/>
      <c r="J146" s="2186"/>
      <c r="K146" s="2186"/>
      <c r="L146" s="2186"/>
      <c r="M146" s="2187"/>
    </row>
    <row r="147" spans="1:13">
      <c r="A147" s="2191"/>
      <c r="B147" s="2187"/>
      <c r="C147" s="2186"/>
      <c r="D147" s="2186"/>
      <c r="E147" s="2183"/>
      <c r="F147" s="2184"/>
      <c r="G147" s="2184"/>
      <c r="H147" s="2184"/>
      <c r="I147" s="2185"/>
      <c r="J147" s="2186"/>
      <c r="K147" s="2186"/>
      <c r="L147" s="2186"/>
      <c r="M147" s="2187"/>
    </row>
    <row r="148" spans="1:13">
      <c r="A148" s="2191"/>
      <c r="B148" s="2187"/>
      <c r="C148" s="2186"/>
      <c r="D148" s="2186"/>
      <c r="E148" s="2183"/>
      <c r="F148" s="2184"/>
      <c r="G148" s="2184"/>
      <c r="H148" s="2184"/>
      <c r="I148" s="2185"/>
      <c r="J148" s="2186"/>
      <c r="K148" s="2186"/>
      <c r="L148" s="2186"/>
      <c r="M148" s="2187"/>
    </row>
    <row r="149" spans="1:13">
      <c r="A149" s="2191"/>
      <c r="B149" s="2187"/>
      <c r="C149" s="2186"/>
      <c r="D149" s="2186"/>
      <c r="E149" s="2183"/>
      <c r="F149" s="2184"/>
      <c r="G149" s="2184"/>
      <c r="H149" s="2184"/>
      <c r="I149" s="2185"/>
      <c r="J149" s="2186"/>
      <c r="K149" s="2186"/>
      <c r="L149" s="2186"/>
      <c r="M149" s="2187"/>
    </row>
    <row r="150" spans="1:13">
      <c r="A150" s="2191"/>
      <c r="B150" s="2187"/>
      <c r="C150" s="2186"/>
      <c r="D150" s="2186"/>
      <c r="E150" s="2183"/>
      <c r="F150" s="2184"/>
      <c r="G150" s="2184"/>
      <c r="H150" s="2184"/>
      <c r="I150" s="2185"/>
      <c r="J150" s="2186"/>
      <c r="K150" s="2186"/>
      <c r="L150" s="2186"/>
      <c r="M150" s="2187"/>
    </row>
    <row r="151" spans="1:13">
      <c r="A151" s="2191"/>
      <c r="B151" s="2187"/>
      <c r="C151" s="2186"/>
      <c r="D151" s="2186"/>
      <c r="E151" s="2183"/>
      <c r="F151" s="2184"/>
      <c r="G151" s="2184"/>
      <c r="H151" s="2184"/>
      <c r="I151" s="2185"/>
      <c r="J151" s="2186"/>
      <c r="K151" s="2186"/>
      <c r="L151" s="2186"/>
      <c r="M151" s="2187"/>
    </row>
    <row r="152" spans="1:13">
      <c r="A152" s="2191"/>
      <c r="B152" s="2187"/>
      <c r="C152" s="2186"/>
      <c r="D152" s="2186"/>
      <c r="E152" s="2183"/>
      <c r="F152" s="2184"/>
      <c r="G152" s="2184"/>
      <c r="H152" s="2184"/>
      <c r="I152" s="2185"/>
      <c r="J152" s="2186"/>
      <c r="K152" s="2186"/>
      <c r="L152" s="2186"/>
      <c r="M152" s="2187"/>
    </row>
    <row r="153" spans="1:13">
      <c r="A153" s="2191"/>
      <c r="B153" s="2187"/>
      <c r="C153" s="2186"/>
      <c r="D153" s="2186"/>
      <c r="E153" s="2183"/>
      <c r="F153" s="2184"/>
      <c r="G153" s="2184"/>
      <c r="H153" s="2184"/>
      <c r="I153" s="2185"/>
      <c r="J153" s="2186"/>
      <c r="K153" s="2186"/>
      <c r="L153" s="2186"/>
      <c r="M153" s="2187"/>
    </row>
    <row r="154" spans="1:13">
      <c r="A154" s="2191"/>
      <c r="B154" s="2187"/>
      <c r="C154" s="2186"/>
      <c r="D154" s="2186"/>
      <c r="E154" s="2183"/>
      <c r="F154" s="2184"/>
      <c r="G154" s="2184"/>
      <c r="H154" s="2184"/>
      <c r="I154" s="2185"/>
      <c r="J154" s="2186"/>
      <c r="K154" s="2186"/>
      <c r="L154" s="2186"/>
      <c r="M154" s="2187"/>
    </row>
    <row r="155" spans="1:13">
      <c r="A155" s="2191"/>
      <c r="B155" s="2187"/>
      <c r="C155" s="2186"/>
      <c r="D155" s="2186"/>
      <c r="E155" s="2183"/>
      <c r="F155" s="2184"/>
      <c r="G155" s="2184"/>
      <c r="H155" s="2184"/>
      <c r="I155" s="2185"/>
      <c r="J155" s="2186"/>
      <c r="K155" s="2186"/>
      <c r="L155" s="2186"/>
      <c r="M155" s="2187"/>
    </row>
    <row r="156" spans="1:13">
      <c r="A156" s="2191"/>
      <c r="B156" s="2187"/>
      <c r="C156" s="2186"/>
      <c r="D156" s="2186"/>
      <c r="E156" s="2183"/>
      <c r="F156" s="2184"/>
      <c r="G156" s="2184"/>
      <c r="H156" s="2184"/>
      <c r="I156" s="2185"/>
      <c r="J156" s="2186"/>
      <c r="K156" s="2186"/>
      <c r="L156" s="2186"/>
      <c r="M156" s="2187"/>
    </row>
    <row r="157" spans="1:13">
      <c r="A157" s="2191"/>
      <c r="B157" s="2187"/>
      <c r="C157" s="2186"/>
      <c r="D157" s="2186"/>
      <c r="E157" s="2183"/>
      <c r="F157" s="2184"/>
      <c r="G157" s="2184"/>
      <c r="H157" s="2184"/>
      <c r="I157" s="2185"/>
      <c r="J157" s="2186"/>
      <c r="K157" s="2186"/>
      <c r="L157" s="2186"/>
      <c r="M157" s="2187"/>
    </row>
    <row r="158" spans="1:13">
      <c r="A158" s="2191"/>
      <c r="B158" s="2187"/>
      <c r="C158" s="2186"/>
      <c r="D158" s="2186"/>
      <c r="E158" s="2183"/>
      <c r="F158" s="2184"/>
      <c r="G158" s="2184"/>
      <c r="H158" s="2184"/>
      <c r="I158" s="2185"/>
      <c r="J158" s="2186"/>
      <c r="K158" s="2186"/>
      <c r="L158" s="2186"/>
      <c r="M158" s="2187"/>
    </row>
    <row r="159" spans="1:13">
      <c r="A159" s="2191"/>
      <c r="B159" s="2187"/>
      <c r="C159" s="2186"/>
      <c r="D159" s="2186"/>
      <c r="E159" s="2183"/>
      <c r="F159" s="2184"/>
      <c r="G159" s="2184"/>
      <c r="H159" s="2184"/>
      <c r="I159" s="2185"/>
      <c r="J159" s="2186"/>
      <c r="K159" s="2186"/>
      <c r="L159" s="2186"/>
      <c r="M159" s="2187"/>
    </row>
    <row r="160" spans="1:13">
      <c r="A160" s="2191"/>
      <c r="B160" s="2187"/>
      <c r="C160" s="2186"/>
      <c r="D160" s="2186"/>
      <c r="E160" s="2183"/>
      <c r="F160" s="2184"/>
      <c r="G160" s="2184"/>
      <c r="H160" s="2184"/>
      <c r="I160" s="2185"/>
      <c r="J160" s="2186"/>
      <c r="K160" s="2186"/>
      <c r="L160" s="2186"/>
      <c r="M160" s="2187"/>
    </row>
    <row r="161" spans="1:13">
      <c r="A161" s="2191"/>
      <c r="B161" s="2187"/>
      <c r="C161" s="2186"/>
      <c r="D161" s="2186"/>
      <c r="E161" s="2183"/>
      <c r="F161" s="2184"/>
      <c r="G161" s="2184"/>
      <c r="H161" s="2184"/>
      <c r="I161" s="2185"/>
      <c r="J161" s="2186"/>
      <c r="K161" s="2186"/>
      <c r="L161" s="2186"/>
      <c r="M161" s="2187"/>
    </row>
    <row r="162" spans="1:13">
      <c r="A162" s="2191"/>
      <c r="B162" s="2187"/>
      <c r="C162" s="2186"/>
      <c r="D162" s="2186"/>
      <c r="E162" s="2183"/>
      <c r="F162" s="2184"/>
      <c r="G162" s="2184"/>
      <c r="H162" s="2184"/>
      <c r="I162" s="2185"/>
      <c r="J162" s="2186"/>
      <c r="K162" s="2186"/>
      <c r="L162" s="2186"/>
      <c r="M162" s="2187"/>
    </row>
    <row r="163" spans="1:13">
      <c r="A163" s="2191"/>
      <c r="B163" s="2187"/>
      <c r="C163" s="2186"/>
      <c r="D163" s="2186"/>
      <c r="E163" s="2183"/>
      <c r="F163" s="2184"/>
      <c r="G163" s="2184"/>
      <c r="H163" s="2184"/>
      <c r="I163" s="2185"/>
      <c r="J163" s="2186"/>
      <c r="K163" s="2186"/>
      <c r="L163" s="2186"/>
      <c r="M163" s="2187"/>
    </row>
    <row r="164" spans="1:13">
      <c r="A164" s="2191"/>
      <c r="B164" s="2187"/>
      <c r="C164" s="2186"/>
      <c r="D164" s="2186"/>
      <c r="E164" s="2183"/>
      <c r="F164" s="2184"/>
      <c r="G164" s="2184"/>
      <c r="H164" s="2184"/>
      <c r="I164" s="2185"/>
      <c r="J164" s="2186"/>
      <c r="K164" s="2186"/>
      <c r="L164" s="2186"/>
      <c r="M164" s="2187"/>
    </row>
    <row r="165" spans="1:13">
      <c r="A165" s="2191"/>
      <c r="B165" s="2187"/>
      <c r="C165" s="2186"/>
      <c r="D165" s="2186"/>
      <c r="E165" s="2183"/>
      <c r="F165" s="2184"/>
      <c r="G165" s="2184"/>
      <c r="H165" s="2184"/>
      <c r="I165" s="2185"/>
      <c r="J165" s="2186"/>
      <c r="K165" s="2186"/>
      <c r="L165" s="2186"/>
      <c r="M165" s="2187"/>
    </row>
    <row r="166" spans="1:13">
      <c r="A166" s="2191"/>
      <c r="B166" s="2187"/>
      <c r="C166" s="2186"/>
      <c r="D166" s="2186"/>
      <c r="E166" s="2183"/>
      <c r="F166" s="2184"/>
      <c r="G166" s="2184"/>
      <c r="H166" s="2184"/>
      <c r="I166" s="2185"/>
      <c r="J166" s="2186"/>
      <c r="K166" s="2186"/>
      <c r="L166" s="2186"/>
      <c r="M166" s="2187"/>
    </row>
    <row r="167" spans="1:13">
      <c r="A167" s="2191"/>
      <c r="B167" s="2187"/>
      <c r="C167" s="2186"/>
      <c r="D167" s="2186"/>
      <c r="E167" s="2183"/>
      <c r="F167" s="2184"/>
      <c r="G167" s="2184"/>
      <c r="H167" s="2184"/>
      <c r="I167" s="2185"/>
      <c r="J167" s="2186"/>
      <c r="K167" s="2186"/>
      <c r="L167" s="2186"/>
      <c r="M167" s="2187"/>
    </row>
    <row r="168" spans="1:13">
      <c r="A168" s="2191"/>
      <c r="B168" s="2187"/>
      <c r="C168" s="2186"/>
      <c r="D168" s="2186"/>
      <c r="E168" s="2183"/>
      <c r="F168" s="2184"/>
      <c r="G168" s="2184"/>
      <c r="H168" s="2184"/>
      <c r="I168" s="2185"/>
      <c r="J168" s="2186"/>
      <c r="K168" s="2186"/>
      <c r="L168" s="2186"/>
      <c r="M168" s="2187"/>
    </row>
    <row r="169" spans="1:13">
      <c r="A169" s="2191"/>
      <c r="B169" s="2187"/>
      <c r="C169" s="2186"/>
      <c r="D169" s="2186"/>
      <c r="E169" s="2183"/>
      <c r="F169" s="2184"/>
      <c r="G169" s="2184"/>
      <c r="H169" s="2184"/>
      <c r="I169" s="2185"/>
      <c r="J169" s="2186"/>
      <c r="K169" s="2186"/>
      <c r="L169" s="2186"/>
      <c r="M169" s="2187"/>
    </row>
    <row r="170" spans="1:13">
      <c r="A170" s="2191"/>
      <c r="B170" s="2187"/>
      <c r="C170" s="2186"/>
      <c r="D170" s="2186"/>
      <c r="E170" s="2183"/>
      <c r="F170" s="2184"/>
      <c r="G170" s="2184"/>
      <c r="H170" s="2184"/>
      <c r="I170" s="2185"/>
      <c r="J170" s="2186"/>
      <c r="K170" s="2186"/>
      <c r="L170" s="2186"/>
      <c r="M170" s="2187"/>
    </row>
    <row r="171" spans="1:13">
      <c r="A171" s="2191"/>
      <c r="B171" s="2187"/>
      <c r="C171" s="2186"/>
      <c r="D171" s="2186"/>
      <c r="E171" s="2183"/>
      <c r="F171" s="2184"/>
      <c r="G171" s="2184"/>
      <c r="H171" s="2184"/>
      <c r="I171" s="2185"/>
      <c r="J171" s="2186"/>
      <c r="K171" s="2186"/>
      <c r="L171" s="2186"/>
      <c r="M171" s="2187"/>
    </row>
    <row r="172" spans="1:13">
      <c r="A172" s="2191"/>
      <c r="B172" s="2187"/>
      <c r="C172" s="2186"/>
      <c r="D172" s="2186"/>
      <c r="E172" s="2183"/>
      <c r="F172" s="2184"/>
      <c r="G172" s="2184"/>
      <c r="H172" s="2184"/>
      <c r="I172" s="2185"/>
      <c r="J172" s="2186"/>
      <c r="K172" s="2186"/>
      <c r="L172" s="2186"/>
      <c r="M172" s="2187"/>
    </row>
    <row r="173" spans="1:13">
      <c r="A173" s="2191"/>
      <c r="B173" s="2187"/>
      <c r="C173" s="2186"/>
      <c r="D173" s="2186"/>
      <c r="E173" s="2183"/>
      <c r="F173" s="2184"/>
      <c r="G173" s="2184"/>
      <c r="H173" s="2184"/>
      <c r="I173" s="2185"/>
      <c r="J173" s="2186"/>
      <c r="K173" s="2186"/>
      <c r="L173" s="2186"/>
      <c r="M173" s="2187"/>
    </row>
    <row r="174" spans="1:13">
      <c r="A174" s="2191"/>
      <c r="B174" s="2187"/>
      <c r="C174" s="2186"/>
      <c r="D174" s="2186"/>
      <c r="E174" s="2183"/>
      <c r="F174" s="2184"/>
      <c r="G174" s="2184"/>
      <c r="H174" s="2184"/>
      <c r="I174" s="2185"/>
      <c r="J174" s="2186"/>
      <c r="K174" s="2186"/>
      <c r="L174" s="2186"/>
      <c r="M174" s="2187"/>
    </row>
    <row r="175" spans="1:13">
      <c r="A175" s="2191"/>
      <c r="B175" s="2187"/>
      <c r="C175" s="2186"/>
      <c r="D175" s="2186"/>
      <c r="E175" s="2183"/>
      <c r="F175" s="2184"/>
      <c r="G175" s="2184"/>
      <c r="H175" s="2184"/>
      <c r="I175" s="2185"/>
      <c r="J175" s="2186"/>
      <c r="K175" s="2186"/>
      <c r="L175" s="2186"/>
      <c r="M175" s="2187"/>
    </row>
    <row r="176" spans="1:13">
      <c r="A176" s="2191"/>
      <c r="B176" s="2187"/>
      <c r="C176" s="2186"/>
      <c r="D176" s="2186"/>
      <c r="E176" s="2183"/>
      <c r="F176" s="2184"/>
      <c r="G176" s="2184"/>
      <c r="H176" s="2184"/>
      <c r="I176" s="2185"/>
      <c r="J176" s="2186"/>
      <c r="K176" s="2186"/>
      <c r="L176" s="2186"/>
      <c r="M176" s="2187"/>
    </row>
    <row r="177" spans="1:13">
      <c r="A177" s="2191"/>
      <c r="B177" s="2187"/>
      <c r="C177" s="2186"/>
      <c r="D177" s="2186"/>
      <c r="E177" s="2183"/>
      <c r="F177" s="2184"/>
      <c r="G177" s="2184"/>
      <c r="H177" s="2184"/>
      <c r="I177" s="2185"/>
      <c r="J177" s="2186"/>
      <c r="K177" s="2186"/>
      <c r="L177" s="2186"/>
      <c r="M177" s="2187"/>
    </row>
    <row r="178" spans="1:13">
      <c r="A178" s="2191"/>
      <c r="B178" s="2187"/>
      <c r="C178" s="2186"/>
      <c r="D178" s="2186"/>
      <c r="E178" s="2183"/>
      <c r="F178" s="2184"/>
      <c r="G178" s="2184"/>
      <c r="H178" s="2184"/>
      <c r="I178" s="2185"/>
      <c r="J178" s="2186"/>
      <c r="K178" s="2186"/>
      <c r="L178" s="2186"/>
      <c r="M178" s="2187"/>
    </row>
    <row r="179" spans="1:13">
      <c r="A179" s="2191"/>
      <c r="B179" s="2187"/>
      <c r="C179" s="2186"/>
      <c r="D179" s="2186"/>
      <c r="E179" s="2183"/>
      <c r="F179" s="2184"/>
      <c r="G179" s="2184"/>
      <c r="H179" s="2184"/>
      <c r="I179" s="2185"/>
      <c r="J179" s="2186"/>
      <c r="K179" s="2186"/>
      <c r="L179" s="2186"/>
      <c r="M179" s="2187"/>
    </row>
    <row r="180" spans="1:13">
      <c r="A180" s="2191"/>
      <c r="B180" s="2187"/>
      <c r="C180" s="2186"/>
      <c r="D180" s="2186"/>
      <c r="E180" s="2183"/>
      <c r="F180" s="2184"/>
      <c r="G180" s="2184"/>
      <c r="H180" s="2184"/>
      <c r="I180" s="2185"/>
      <c r="J180" s="2186"/>
      <c r="K180" s="2186"/>
      <c r="L180" s="2186"/>
      <c r="M180" s="2187"/>
    </row>
    <row r="181" spans="1:13">
      <c r="A181" s="2191"/>
      <c r="B181" s="2187"/>
      <c r="C181" s="2186"/>
      <c r="D181" s="2186"/>
      <c r="E181" s="2183"/>
      <c r="F181" s="2184"/>
      <c r="G181" s="2184"/>
      <c r="H181" s="2184"/>
      <c r="I181" s="2185"/>
      <c r="J181" s="2186"/>
      <c r="K181" s="2186"/>
      <c r="L181" s="2186"/>
      <c r="M181" s="2187"/>
    </row>
    <row r="182" spans="1:13">
      <c r="A182" s="2191"/>
      <c r="B182" s="2187"/>
      <c r="C182" s="2186"/>
      <c r="D182" s="2186"/>
      <c r="E182" s="2183"/>
      <c r="F182" s="2184"/>
      <c r="G182" s="2184"/>
      <c r="H182" s="2184"/>
      <c r="I182" s="2185"/>
      <c r="J182" s="2186"/>
      <c r="K182" s="2186"/>
      <c r="L182" s="2186"/>
      <c r="M182" s="2187"/>
    </row>
    <row r="183" spans="1:13">
      <c r="A183" s="2191"/>
      <c r="B183" s="2187"/>
      <c r="C183" s="2186"/>
      <c r="D183" s="2186"/>
      <c r="E183" s="2183"/>
      <c r="F183" s="2184"/>
      <c r="G183" s="2184"/>
      <c r="H183" s="2184"/>
      <c r="I183" s="2185"/>
      <c r="J183" s="2186"/>
      <c r="K183" s="2186"/>
      <c r="L183" s="2186"/>
      <c r="M183" s="2187"/>
    </row>
    <row r="184" spans="1:13">
      <c r="A184" s="2191"/>
      <c r="B184" s="2187"/>
      <c r="C184" s="2186"/>
      <c r="D184" s="2186"/>
      <c r="E184" s="2183"/>
      <c r="F184" s="2184"/>
      <c r="G184" s="2184"/>
      <c r="H184" s="2184"/>
      <c r="I184" s="2185"/>
      <c r="J184" s="2186"/>
      <c r="K184" s="2186"/>
      <c r="L184" s="2186"/>
      <c r="M184" s="2187"/>
    </row>
    <row r="185" spans="1:13">
      <c r="A185" s="2191"/>
      <c r="B185" s="2187"/>
      <c r="C185" s="2186"/>
      <c r="D185" s="2186"/>
      <c r="E185" s="2183"/>
      <c r="F185" s="2184"/>
      <c r="G185" s="2184"/>
      <c r="H185" s="2184"/>
      <c r="I185" s="2185"/>
      <c r="J185" s="2186"/>
      <c r="K185" s="2186"/>
      <c r="L185" s="2186"/>
      <c r="M185" s="2187"/>
    </row>
    <row r="186" spans="1:13">
      <c r="A186" s="2191"/>
      <c r="B186" s="2187"/>
      <c r="C186" s="2186"/>
      <c r="D186" s="2186"/>
      <c r="E186" s="2183"/>
      <c r="F186" s="2184"/>
      <c r="G186" s="2184"/>
      <c r="H186" s="2184"/>
      <c r="I186" s="2185"/>
      <c r="J186" s="2186"/>
      <c r="K186" s="2186"/>
      <c r="L186" s="2186"/>
      <c r="M186" s="2187"/>
    </row>
    <row r="187" spans="1:13">
      <c r="A187" s="2191"/>
      <c r="B187" s="2187"/>
      <c r="C187" s="2186"/>
      <c r="D187" s="2186"/>
      <c r="E187" s="2183"/>
      <c r="F187" s="2184"/>
      <c r="G187" s="2184"/>
      <c r="H187" s="2184"/>
      <c r="I187" s="2185"/>
      <c r="J187" s="2186"/>
      <c r="K187" s="2186"/>
      <c r="L187" s="2186"/>
      <c r="M187" s="2187"/>
    </row>
    <row r="188" spans="1:13">
      <c r="A188" s="2191"/>
      <c r="B188" s="2187"/>
      <c r="C188" s="2186"/>
      <c r="D188" s="2186"/>
      <c r="E188" s="2183"/>
      <c r="F188" s="2184"/>
      <c r="G188" s="2184"/>
      <c r="H188" s="2184"/>
      <c r="I188" s="2185"/>
      <c r="J188" s="2186"/>
      <c r="K188" s="2186"/>
      <c r="L188" s="2186"/>
      <c r="M188" s="2187"/>
    </row>
    <row r="189" spans="1:13">
      <c r="A189" s="2191"/>
      <c r="B189" s="2187"/>
      <c r="C189" s="2186"/>
      <c r="D189" s="2186"/>
      <c r="E189" s="2183"/>
      <c r="F189" s="2184"/>
      <c r="G189" s="2184"/>
      <c r="H189" s="2184"/>
      <c r="I189" s="2185"/>
      <c r="J189" s="2186"/>
      <c r="K189" s="2186"/>
      <c r="L189" s="2186"/>
      <c r="M189" s="2187"/>
    </row>
    <row r="190" spans="1:13">
      <c r="A190" s="2191"/>
      <c r="B190" s="2187"/>
      <c r="C190" s="2186"/>
      <c r="D190" s="2186"/>
      <c r="E190" s="2183"/>
      <c r="F190" s="2184"/>
      <c r="G190" s="2184"/>
      <c r="H190" s="2184"/>
      <c r="I190" s="2185"/>
      <c r="J190" s="2186"/>
      <c r="K190" s="2186"/>
      <c r="L190" s="2186"/>
      <c r="M190" s="2187"/>
    </row>
    <row r="191" spans="1:13">
      <c r="A191" s="2191"/>
      <c r="B191" s="2187"/>
      <c r="C191" s="2186"/>
      <c r="D191" s="2186"/>
      <c r="E191" s="2183"/>
      <c r="F191" s="2184"/>
      <c r="G191" s="2184"/>
      <c r="H191" s="2184"/>
      <c r="I191" s="2185"/>
      <c r="J191" s="2186"/>
      <c r="K191" s="2186"/>
      <c r="L191" s="2186"/>
      <c r="M191" s="2187"/>
    </row>
    <row r="192" spans="1:13">
      <c r="A192" s="2191"/>
      <c r="B192" s="2187"/>
      <c r="C192" s="2186"/>
      <c r="D192" s="2186"/>
      <c r="E192" s="2183"/>
      <c r="F192" s="2184"/>
      <c r="G192" s="2184"/>
      <c r="H192" s="2184"/>
      <c r="I192" s="2185"/>
      <c r="J192" s="2186"/>
      <c r="K192" s="2186"/>
      <c r="L192" s="2186"/>
      <c r="M192" s="2187"/>
    </row>
    <row r="193" spans="1:13">
      <c r="A193" s="2191"/>
      <c r="B193" s="2187"/>
      <c r="C193" s="2186"/>
      <c r="D193" s="2186"/>
      <c r="E193" s="2183"/>
      <c r="F193" s="2184"/>
      <c r="G193" s="2184"/>
      <c r="H193" s="2184"/>
      <c r="I193" s="2185"/>
      <c r="J193" s="2186"/>
      <c r="K193" s="2186"/>
      <c r="L193" s="2186"/>
      <c r="M193" s="2187"/>
    </row>
    <row r="194" spans="1:13">
      <c r="A194" s="2191"/>
      <c r="B194" s="2187"/>
      <c r="C194" s="2186"/>
      <c r="D194" s="2186"/>
      <c r="E194" s="2183"/>
      <c r="F194" s="2184"/>
      <c r="G194" s="2184"/>
      <c r="H194" s="2184"/>
      <c r="I194" s="2185"/>
      <c r="J194" s="2186"/>
      <c r="K194" s="2186"/>
      <c r="L194" s="2186"/>
      <c r="M194" s="2187"/>
    </row>
    <row r="195" spans="1:13" ht="13.8" thickBot="1">
      <c r="A195" s="2216"/>
      <c r="B195" s="2217"/>
      <c r="C195" s="2186"/>
      <c r="D195" s="2186"/>
      <c r="E195" s="2188"/>
      <c r="F195" s="2189"/>
      <c r="G195" s="2189"/>
      <c r="H195" s="2189"/>
      <c r="I195" s="2190"/>
      <c r="J195" s="2186"/>
      <c r="K195" s="2186"/>
      <c r="L195" s="2186"/>
      <c r="M195" s="2187"/>
    </row>
  </sheetData>
  <sheetProtection algorithmName="SHA-512" hashValue="EFddWh5Fy0SfW8iAGAMZWZmu9cvScmsutM6jXggWVyEXKAGVm1QcX5gyQRn4l+CczsHPBtFVwtVqpkXO01TxGw==" saltValue="7CsXHebnm6iPH3COcPkFrw==" spinCount="100000" sheet="1" objects="1" scenarios="1"/>
  <mergeCells count="761">
    <mergeCell ref="A195:B195"/>
    <mergeCell ref="C195:D195"/>
    <mergeCell ref="E195:I195"/>
    <mergeCell ref="J195:M195"/>
    <mergeCell ref="A194:B194"/>
    <mergeCell ref="C194:D194"/>
    <mergeCell ref="E194:I194"/>
    <mergeCell ref="J194:M194"/>
    <mergeCell ref="E190:I190"/>
    <mergeCell ref="J190:M190"/>
    <mergeCell ref="A193:B193"/>
    <mergeCell ref="C193:D193"/>
    <mergeCell ref="E193:I193"/>
    <mergeCell ref="J193:M193"/>
    <mergeCell ref="A191:B191"/>
    <mergeCell ref="C191:D191"/>
    <mergeCell ref="E191:I191"/>
    <mergeCell ref="J191:M191"/>
    <mergeCell ref="A192:B192"/>
    <mergeCell ref="C192:D192"/>
    <mergeCell ref="E192:I192"/>
    <mergeCell ref="J192:M192"/>
    <mergeCell ref="A189:B189"/>
    <mergeCell ref="C189:D189"/>
    <mergeCell ref="E189:I189"/>
    <mergeCell ref="J189:M189"/>
    <mergeCell ref="A190:B190"/>
    <mergeCell ref="C190:D190"/>
    <mergeCell ref="A75:B75"/>
    <mergeCell ref="C75:D75"/>
    <mergeCell ref="E75:I75"/>
    <mergeCell ref="J75:M75"/>
    <mergeCell ref="A76:B76"/>
    <mergeCell ref="C76:D76"/>
    <mergeCell ref="E76:I76"/>
    <mergeCell ref="J76:M76"/>
    <mergeCell ref="A187:B187"/>
    <mergeCell ref="C187:D187"/>
    <mergeCell ref="E187:I187"/>
    <mergeCell ref="J187:M187"/>
    <mergeCell ref="A188:B188"/>
    <mergeCell ref="C188:D188"/>
    <mergeCell ref="E188:I188"/>
    <mergeCell ref="J188:M188"/>
    <mergeCell ref="A185:B185"/>
    <mergeCell ref="C185:D185"/>
    <mergeCell ref="E185:I185"/>
    <mergeCell ref="J185:M185"/>
    <mergeCell ref="A186:B186"/>
    <mergeCell ref="C186:D186"/>
    <mergeCell ref="E186:I186"/>
    <mergeCell ref="J186:M186"/>
    <mergeCell ref="A183:B183"/>
    <mergeCell ref="C183:D183"/>
    <mergeCell ref="E183:I183"/>
    <mergeCell ref="J183:M183"/>
    <mergeCell ref="A184:B184"/>
    <mergeCell ref="C184:D184"/>
    <mergeCell ref="E184:I184"/>
    <mergeCell ref="J184:M184"/>
    <mergeCell ref="A181:B181"/>
    <mergeCell ref="C181:D181"/>
    <mergeCell ref="E181:I181"/>
    <mergeCell ref="J181:M181"/>
    <mergeCell ref="A182:B182"/>
    <mergeCell ref="C182:D182"/>
    <mergeCell ref="E182:I182"/>
    <mergeCell ref="J182:M182"/>
    <mergeCell ref="A179:B179"/>
    <mergeCell ref="C179:D179"/>
    <mergeCell ref="E179:I179"/>
    <mergeCell ref="J179:M179"/>
    <mergeCell ref="A180:B180"/>
    <mergeCell ref="C180:D180"/>
    <mergeCell ref="E180:I180"/>
    <mergeCell ref="J180:M180"/>
    <mergeCell ref="A177:B177"/>
    <mergeCell ref="C177:D177"/>
    <mergeCell ref="E177:I177"/>
    <mergeCell ref="J177:M177"/>
    <mergeCell ref="A178:B178"/>
    <mergeCell ref="C178:D178"/>
    <mergeCell ref="E178:I178"/>
    <mergeCell ref="J178:M178"/>
    <mergeCell ref="A175:B175"/>
    <mergeCell ref="C175:D175"/>
    <mergeCell ref="E175:I175"/>
    <mergeCell ref="J175:M175"/>
    <mergeCell ref="A176:B176"/>
    <mergeCell ref="C176:D176"/>
    <mergeCell ref="E176:I176"/>
    <mergeCell ref="J176:M176"/>
    <mergeCell ref="A173:B173"/>
    <mergeCell ref="C173:D173"/>
    <mergeCell ref="E173:I173"/>
    <mergeCell ref="J173:M173"/>
    <mergeCell ref="A174:B174"/>
    <mergeCell ref="C174:D174"/>
    <mergeCell ref="E174:I174"/>
    <mergeCell ref="J174:M174"/>
    <mergeCell ref="A171:B171"/>
    <mergeCell ref="C171:D171"/>
    <mergeCell ref="E171:I171"/>
    <mergeCell ref="J171:M171"/>
    <mergeCell ref="A172:B172"/>
    <mergeCell ref="C172:D172"/>
    <mergeCell ref="E172:I172"/>
    <mergeCell ref="J172:M172"/>
    <mergeCell ref="A169:B169"/>
    <mergeCell ref="C169:D169"/>
    <mergeCell ref="E169:I169"/>
    <mergeCell ref="J169:M169"/>
    <mergeCell ref="A170:B170"/>
    <mergeCell ref="C170:D170"/>
    <mergeCell ref="E170:I170"/>
    <mergeCell ref="J170:M170"/>
    <mergeCell ref="A167:B167"/>
    <mergeCell ref="C167:D167"/>
    <mergeCell ref="E167:I167"/>
    <mergeCell ref="J167:M167"/>
    <mergeCell ref="A168:B168"/>
    <mergeCell ref="C168:D168"/>
    <mergeCell ref="E168:I168"/>
    <mergeCell ref="J168:M168"/>
    <mergeCell ref="A165:B165"/>
    <mergeCell ref="C165:D165"/>
    <mergeCell ref="E165:I165"/>
    <mergeCell ref="J165:M165"/>
    <mergeCell ref="A166:B166"/>
    <mergeCell ref="C166:D166"/>
    <mergeCell ref="E166:I166"/>
    <mergeCell ref="J166:M166"/>
    <mergeCell ref="A163:B163"/>
    <mergeCell ref="C163:D163"/>
    <mergeCell ref="E163:I163"/>
    <mergeCell ref="J163:M163"/>
    <mergeCell ref="A164:B164"/>
    <mergeCell ref="C164:D164"/>
    <mergeCell ref="E164:I164"/>
    <mergeCell ref="J164:M164"/>
    <mergeCell ref="A161:B161"/>
    <mergeCell ref="C161:D161"/>
    <mergeCell ref="E161:I161"/>
    <mergeCell ref="J161:M161"/>
    <mergeCell ref="A162:B162"/>
    <mergeCell ref="C162:D162"/>
    <mergeCell ref="E162:I162"/>
    <mergeCell ref="J162:M162"/>
    <mergeCell ref="A159:B159"/>
    <mergeCell ref="C159:D159"/>
    <mergeCell ref="E159:I159"/>
    <mergeCell ref="J159:M159"/>
    <mergeCell ref="A160:B160"/>
    <mergeCell ref="C160:D160"/>
    <mergeCell ref="E160:I160"/>
    <mergeCell ref="J160:M160"/>
    <mergeCell ref="A157:B157"/>
    <mergeCell ref="C157:D157"/>
    <mergeCell ref="E157:I157"/>
    <mergeCell ref="J157:M157"/>
    <mergeCell ref="A158:B158"/>
    <mergeCell ref="C158:D158"/>
    <mergeCell ref="E158:I158"/>
    <mergeCell ref="J158:M158"/>
    <mergeCell ref="A155:B155"/>
    <mergeCell ref="C155:D155"/>
    <mergeCell ref="E155:I155"/>
    <mergeCell ref="J155:M155"/>
    <mergeCell ref="A156:B156"/>
    <mergeCell ref="C156:D156"/>
    <mergeCell ref="E156:I156"/>
    <mergeCell ref="J156:M156"/>
    <mergeCell ref="A153:B153"/>
    <mergeCell ref="C153:D153"/>
    <mergeCell ref="E153:I153"/>
    <mergeCell ref="J153:M153"/>
    <mergeCell ref="A154:B154"/>
    <mergeCell ref="C154:D154"/>
    <mergeCell ref="E154:I154"/>
    <mergeCell ref="J154:M154"/>
    <mergeCell ref="A151:B151"/>
    <mergeCell ref="C151:D151"/>
    <mergeCell ref="E151:I151"/>
    <mergeCell ref="J151:M151"/>
    <mergeCell ref="A152:B152"/>
    <mergeCell ref="C152:D152"/>
    <mergeCell ref="E152:I152"/>
    <mergeCell ref="J152:M152"/>
    <mergeCell ref="A149:B149"/>
    <mergeCell ref="C149:D149"/>
    <mergeCell ref="E149:I149"/>
    <mergeCell ref="J149:M149"/>
    <mergeCell ref="A150:B150"/>
    <mergeCell ref="C150:D150"/>
    <mergeCell ref="E150:I150"/>
    <mergeCell ref="J150:M150"/>
    <mergeCell ref="A147:B147"/>
    <mergeCell ref="C147:D147"/>
    <mergeCell ref="E147:I147"/>
    <mergeCell ref="J147:M147"/>
    <mergeCell ref="A148:B148"/>
    <mergeCell ref="C148:D148"/>
    <mergeCell ref="E148:I148"/>
    <mergeCell ref="J148:M148"/>
    <mergeCell ref="A145:B145"/>
    <mergeCell ref="C145:D145"/>
    <mergeCell ref="E145:I145"/>
    <mergeCell ref="J145:M145"/>
    <mergeCell ref="A146:B146"/>
    <mergeCell ref="C146:D146"/>
    <mergeCell ref="E146:I146"/>
    <mergeCell ref="J146:M146"/>
    <mergeCell ref="A143:B143"/>
    <mergeCell ref="C143:D143"/>
    <mergeCell ref="E143:I143"/>
    <mergeCell ref="J143:M143"/>
    <mergeCell ref="A144:B144"/>
    <mergeCell ref="C144:D144"/>
    <mergeCell ref="E144:I144"/>
    <mergeCell ref="J144:M144"/>
    <mergeCell ref="A141:B141"/>
    <mergeCell ref="C141:D141"/>
    <mergeCell ref="E141:I141"/>
    <mergeCell ref="J141:M141"/>
    <mergeCell ref="A142:B142"/>
    <mergeCell ref="C142:D142"/>
    <mergeCell ref="E142:I142"/>
    <mergeCell ref="J142:M142"/>
    <mergeCell ref="A139:B139"/>
    <mergeCell ref="C139:D139"/>
    <mergeCell ref="E139:I139"/>
    <mergeCell ref="J139:M139"/>
    <mergeCell ref="A140:B140"/>
    <mergeCell ref="C140:D140"/>
    <mergeCell ref="E140:I140"/>
    <mergeCell ref="J140:M140"/>
    <mergeCell ref="A137:B137"/>
    <mergeCell ref="C137:D137"/>
    <mergeCell ref="E137:I137"/>
    <mergeCell ref="J137:M137"/>
    <mergeCell ref="A138:B138"/>
    <mergeCell ref="C138:D138"/>
    <mergeCell ref="E138:I138"/>
    <mergeCell ref="J138:M138"/>
    <mergeCell ref="A135:B135"/>
    <mergeCell ref="C135:D135"/>
    <mergeCell ref="E135:I135"/>
    <mergeCell ref="J135:M135"/>
    <mergeCell ref="A136:B136"/>
    <mergeCell ref="C136:D136"/>
    <mergeCell ref="E136:I136"/>
    <mergeCell ref="J136:M136"/>
    <mergeCell ref="A133:B133"/>
    <mergeCell ref="C133:D133"/>
    <mergeCell ref="E133:I133"/>
    <mergeCell ref="J133:M133"/>
    <mergeCell ref="A134:B134"/>
    <mergeCell ref="C134:D134"/>
    <mergeCell ref="E134:I134"/>
    <mergeCell ref="J134:M134"/>
    <mergeCell ref="A131:B131"/>
    <mergeCell ref="C131:D131"/>
    <mergeCell ref="E131:I131"/>
    <mergeCell ref="J131:M131"/>
    <mergeCell ref="A132:B132"/>
    <mergeCell ref="C132:D132"/>
    <mergeCell ref="E132:I132"/>
    <mergeCell ref="J132:M132"/>
    <mergeCell ref="A129:B129"/>
    <mergeCell ref="C129:D129"/>
    <mergeCell ref="E129:I129"/>
    <mergeCell ref="J129:M129"/>
    <mergeCell ref="A130:B130"/>
    <mergeCell ref="C130:D130"/>
    <mergeCell ref="E130:I130"/>
    <mergeCell ref="J130:M130"/>
    <mergeCell ref="A127:B127"/>
    <mergeCell ref="C127:D127"/>
    <mergeCell ref="E127:I127"/>
    <mergeCell ref="J127:M127"/>
    <mergeCell ref="A128:B128"/>
    <mergeCell ref="C128:D128"/>
    <mergeCell ref="E128:I128"/>
    <mergeCell ref="J128:M128"/>
    <mergeCell ref="A125:B125"/>
    <mergeCell ref="C125:D125"/>
    <mergeCell ref="E125:I125"/>
    <mergeCell ref="J125:M125"/>
    <mergeCell ref="A126:B126"/>
    <mergeCell ref="C126:D126"/>
    <mergeCell ref="E126:I126"/>
    <mergeCell ref="J126:M126"/>
    <mergeCell ref="A123:B123"/>
    <mergeCell ref="C123:D123"/>
    <mergeCell ref="E123:I123"/>
    <mergeCell ref="J123:M123"/>
    <mergeCell ref="A124:B124"/>
    <mergeCell ref="C124:D124"/>
    <mergeCell ref="E124:I124"/>
    <mergeCell ref="J124:M124"/>
    <mergeCell ref="A121:B121"/>
    <mergeCell ref="C121:D121"/>
    <mergeCell ref="E121:I121"/>
    <mergeCell ref="J121:M121"/>
    <mergeCell ref="A122:B122"/>
    <mergeCell ref="C122:D122"/>
    <mergeCell ref="E122:I122"/>
    <mergeCell ref="J122:M122"/>
    <mergeCell ref="A119:B119"/>
    <mergeCell ref="C119:D119"/>
    <mergeCell ref="E119:I119"/>
    <mergeCell ref="J119:M119"/>
    <mergeCell ref="A120:B120"/>
    <mergeCell ref="C120:D120"/>
    <mergeCell ref="E120:I120"/>
    <mergeCell ref="J120:M120"/>
    <mergeCell ref="A117:B117"/>
    <mergeCell ref="C117:D117"/>
    <mergeCell ref="E117:I117"/>
    <mergeCell ref="J117:M117"/>
    <mergeCell ref="A118:B118"/>
    <mergeCell ref="C118:D118"/>
    <mergeCell ref="E118:I118"/>
    <mergeCell ref="J118:M118"/>
    <mergeCell ref="A115:B115"/>
    <mergeCell ref="C115:D115"/>
    <mergeCell ref="E115:I115"/>
    <mergeCell ref="J115:M115"/>
    <mergeCell ref="A116:B116"/>
    <mergeCell ref="C116:D116"/>
    <mergeCell ref="E116:I116"/>
    <mergeCell ref="J116:M116"/>
    <mergeCell ref="A113:B113"/>
    <mergeCell ref="C113:D113"/>
    <mergeCell ref="E113:I113"/>
    <mergeCell ref="J113:M113"/>
    <mergeCell ref="A114:B114"/>
    <mergeCell ref="C114:D114"/>
    <mergeCell ref="E114:I114"/>
    <mergeCell ref="J114:M114"/>
    <mergeCell ref="A111:B111"/>
    <mergeCell ref="C111:D111"/>
    <mergeCell ref="E111:I111"/>
    <mergeCell ref="J111:M111"/>
    <mergeCell ref="A112:B112"/>
    <mergeCell ref="C112:D112"/>
    <mergeCell ref="E112:I112"/>
    <mergeCell ref="J112:M112"/>
    <mergeCell ref="A109:B109"/>
    <mergeCell ref="C109:D109"/>
    <mergeCell ref="E109:I109"/>
    <mergeCell ref="J109:M109"/>
    <mergeCell ref="A110:B110"/>
    <mergeCell ref="C110:D110"/>
    <mergeCell ref="E110:I110"/>
    <mergeCell ref="J110:M110"/>
    <mergeCell ref="A107:B107"/>
    <mergeCell ref="C107:D107"/>
    <mergeCell ref="E107:I107"/>
    <mergeCell ref="J107:M107"/>
    <mergeCell ref="A108:B108"/>
    <mergeCell ref="C108:D108"/>
    <mergeCell ref="E108:I108"/>
    <mergeCell ref="J108:M108"/>
    <mergeCell ref="A105:B105"/>
    <mergeCell ref="C105:D105"/>
    <mergeCell ref="E105:I105"/>
    <mergeCell ref="J105:M105"/>
    <mergeCell ref="A106:B106"/>
    <mergeCell ref="C106:D106"/>
    <mergeCell ref="E106:I106"/>
    <mergeCell ref="J106:M106"/>
    <mergeCell ref="A103:B103"/>
    <mergeCell ref="C103:D103"/>
    <mergeCell ref="E103:I103"/>
    <mergeCell ref="J103:M103"/>
    <mergeCell ref="A104:B104"/>
    <mergeCell ref="C104:D104"/>
    <mergeCell ref="E104:I104"/>
    <mergeCell ref="J104:M104"/>
    <mergeCell ref="A101:B101"/>
    <mergeCell ref="C101:D101"/>
    <mergeCell ref="E101:I101"/>
    <mergeCell ref="J101:M101"/>
    <mergeCell ref="A102:B102"/>
    <mergeCell ref="C102:D102"/>
    <mergeCell ref="E102:I102"/>
    <mergeCell ref="J102:M102"/>
    <mergeCell ref="A99:B99"/>
    <mergeCell ref="C99:D99"/>
    <mergeCell ref="E99:I99"/>
    <mergeCell ref="J99:M99"/>
    <mergeCell ref="A100:B100"/>
    <mergeCell ref="C100:D100"/>
    <mergeCell ref="E100:I100"/>
    <mergeCell ref="J100:M100"/>
    <mergeCell ref="A97:B97"/>
    <mergeCell ref="C97:D97"/>
    <mergeCell ref="E97:I97"/>
    <mergeCell ref="J97:M97"/>
    <mergeCell ref="A98:B98"/>
    <mergeCell ref="C98:D98"/>
    <mergeCell ref="E98:I98"/>
    <mergeCell ref="J98:M98"/>
    <mergeCell ref="A95:B95"/>
    <mergeCell ref="C95:D95"/>
    <mergeCell ref="E95:I95"/>
    <mergeCell ref="J95:M95"/>
    <mergeCell ref="A96:B96"/>
    <mergeCell ref="C96:D96"/>
    <mergeCell ref="E96:I96"/>
    <mergeCell ref="J96:M96"/>
    <mergeCell ref="A93:B93"/>
    <mergeCell ref="C93:D93"/>
    <mergeCell ref="E93:I93"/>
    <mergeCell ref="J93:M93"/>
    <mergeCell ref="A94:B94"/>
    <mergeCell ref="C94:D94"/>
    <mergeCell ref="E94:I94"/>
    <mergeCell ref="J94:M94"/>
    <mergeCell ref="A91:B91"/>
    <mergeCell ref="C91:D91"/>
    <mergeCell ref="E91:I91"/>
    <mergeCell ref="J91:M91"/>
    <mergeCell ref="A92:B92"/>
    <mergeCell ref="C92:D92"/>
    <mergeCell ref="E92:I92"/>
    <mergeCell ref="J92:M92"/>
    <mergeCell ref="A89:B89"/>
    <mergeCell ref="C89:D89"/>
    <mergeCell ref="E89:I89"/>
    <mergeCell ref="J89:M89"/>
    <mergeCell ref="A90:B90"/>
    <mergeCell ref="C90:D90"/>
    <mergeCell ref="E90:I90"/>
    <mergeCell ref="J90:M90"/>
    <mergeCell ref="A87:B87"/>
    <mergeCell ref="C87:D87"/>
    <mergeCell ref="E87:I87"/>
    <mergeCell ref="J87:M87"/>
    <mergeCell ref="A88:B88"/>
    <mergeCell ref="C88:D88"/>
    <mergeCell ref="E88:I88"/>
    <mergeCell ref="J88:M88"/>
    <mergeCell ref="A85:B85"/>
    <mergeCell ref="C85:D85"/>
    <mergeCell ref="E85:I85"/>
    <mergeCell ref="J85:M85"/>
    <mergeCell ref="A86:B86"/>
    <mergeCell ref="C86:D86"/>
    <mergeCell ref="E86:I86"/>
    <mergeCell ref="J86:M86"/>
    <mergeCell ref="A83:B83"/>
    <mergeCell ref="C83:D83"/>
    <mergeCell ref="E83:I83"/>
    <mergeCell ref="J83:M83"/>
    <mergeCell ref="A84:B84"/>
    <mergeCell ref="C84:D84"/>
    <mergeCell ref="E84:I84"/>
    <mergeCell ref="J84:M84"/>
    <mergeCell ref="A81:B81"/>
    <mergeCell ref="C81:D81"/>
    <mergeCell ref="E81:I81"/>
    <mergeCell ref="J81:M81"/>
    <mergeCell ref="A82:B82"/>
    <mergeCell ref="C82:D82"/>
    <mergeCell ref="E82:I82"/>
    <mergeCell ref="J82:M82"/>
    <mergeCell ref="A79:B79"/>
    <mergeCell ref="C79:D79"/>
    <mergeCell ref="E79:I79"/>
    <mergeCell ref="J79:M79"/>
    <mergeCell ref="A80:B80"/>
    <mergeCell ref="C80:D80"/>
    <mergeCell ref="E80:I80"/>
    <mergeCell ref="J80:M80"/>
    <mergeCell ref="A69:B69"/>
    <mergeCell ref="C69:D69"/>
    <mergeCell ref="E69:I69"/>
    <mergeCell ref="J69:M69"/>
    <mergeCell ref="A78:B78"/>
    <mergeCell ref="C78:D78"/>
    <mergeCell ref="E78:I78"/>
    <mergeCell ref="J78:M78"/>
    <mergeCell ref="E74:I74"/>
    <mergeCell ref="J74:M74"/>
    <mergeCell ref="A74:B74"/>
    <mergeCell ref="C74:D74"/>
    <mergeCell ref="A77:B77"/>
    <mergeCell ref="C77:D77"/>
    <mergeCell ref="E77:I77"/>
    <mergeCell ref="J77:M77"/>
    <mergeCell ref="A68:B68"/>
    <mergeCell ref="C68:D68"/>
    <mergeCell ref="E68:I68"/>
    <mergeCell ref="J68:M68"/>
    <mergeCell ref="A65:B65"/>
    <mergeCell ref="C65:D65"/>
    <mergeCell ref="E65:I65"/>
    <mergeCell ref="J65:M65"/>
    <mergeCell ref="A73:B73"/>
    <mergeCell ref="C73:D73"/>
    <mergeCell ref="E73:I73"/>
    <mergeCell ref="J73:M73"/>
    <mergeCell ref="A66:B66"/>
    <mergeCell ref="C66:D66"/>
    <mergeCell ref="E66:I66"/>
    <mergeCell ref="J66:M66"/>
    <mergeCell ref="A70:B70"/>
    <mergeCell ref="C70:D70"/>
    <mergeCell ref="E70:I70"/>
    <mergeCell ref="J70:M70"/>
    <mergeCell ref="A72:B72"/>
    <mergeCell ref="C72:D72"/>
    <mergeCell ref="E72:I72"/>
    <mergeCell ref="J72:M72"/>
    <mergeCell ref="A67:B67"/>
    <mergeCell ref="C67:D67"/>
    <mergeCell ref="E67:I67"/>
    <mergeCell ref="J67:M67"/>
    <mergeCell ref="A71:B71"/>
    <mergeCell ref="C71:D71"/>
    <mergeCell ref="E71:I71"/>
    <mergeCell ref="J71:M71"/>
    <mergeCell ref="A58:B58"/>
    <mergeCell ref="C58:D58"/>
    <mergeCell ref="E58:I58"/>
    <mergeCell ref="J58:M58"/>
    <mergeCell ref="A62:B62"/>
    <mergeCell ref="C62:D62"/>
    <mergeCell ref="E62:I62"/>
    <mergeCell ref="J62:M62"/>
    <mergeCell ref="A59:B59"/>
    <mergeCell ref="C59:D59"/>
    <mergeCell ref="E59:I59"/>
    <mergeCell ref="J59:M59"/>
    <mergeCell ref="A60:B60"/>
    <mergeCell ref="C60:D60"/>
    <mergeCell ref="E60:I60"/>
    <mergeCell ref="J60:M60"/>
    <mergeCell ref="A57:B57"/>
    <mergeCell ref="C57:D57"/>
    <mergeCell ref="E57:I57"/>
    <mergeCell ref="J57:M57"/>
    <mergeCell ref="A53:B53"/>
    <mergeCell ref="C53:D53"/>
    <mergeCell ref="E53:I53"/>
    <mergeCell ref="J53:M53"/>
    <mergeCell ref="A55:B55"/>
    <mergeCell ref="C55:D55"/>
    <mergeCell ref="E55:I55"/>
    <mergeCell ref="J55:M55"/>
    <mergeCell ref="A54:B54"/>
    <mergeCell ref="C54:D54"/>
    <mergeCell ref="E54:I54"/>
    <mergeCell ref="J54:M54"/>
    <mergeCell ref="A56:B56"/>
    <mergeCell ref="C56:D56"/>
    <mergeCell ref="E56:I56"/>
    <mergeCell ref="J56:M56"/>
    <mergeCell ref="A50:B50"/>
    <mergeCell ref="C50:D50"/>
    <mergeCell ref="E50:I50"/>
    <mergeCell ref="J50:M50"/>
    <mergeCell ref="A52:B52"/>
    <mergeCell ref="C52:D52"/>
    <mergeCell ref="E52:I52"/>
    <mergeCell ref="J52:M52"/>
    <mergeCell ref="A48:B48"/>
    <mergeCell ref="C48:D48"/>
    <mergeCell ref="E48:I48"/>
    <mergeCell ref="J48:M48"/>
    <mergeCell ref="A49:B49"/>
    <mergeCell ref="C49:D49"/>
    <mergeCell ref="E49:I49"/>
    <mergeCell ref="J49:M49"/>
    <mergeCell ref="A51:B51"/>
    <mergeCell ref="C51:D51"/>
    <mergeCell ref="E51:I51"/>
    <mergeCell ref="J51:M51"/>
    <mergeCell ref="A63:B63"/>
    <mergeCell ref="C63:D63"/>
    <mergeCell ref="E63:I63"/>
    <mergeCell ref="J63:M63"/>
    <mergeCell ref="A64:B64"/>
    <mergeCell ref="C64:D64"/>
    <mergeCell ref="E64:I64"/>
    <mergeCell ref="J64:M64"/>
    <mergeCell ref="A61:B61"/>
    <mergeCell ref="C61:D61"/>
    <mergeCell ref="E61:I61"/>
    <mergeCell ref="J61:M61"/>
    <mergeCell ref="A45:B45"/>
    <mergeCell ref="C45:D45"/>
    <mergeCell ref="E45:I45"/>
    <mergeCell ref="J45:M45"/>
    <mergeCell ref="A44:B44"/>
    <mergeCell ref="C44:D44"/>
    <mergeCell ref="E44:I44"/>
    <mergeCell ref="J44:M44"/>
    <mergeCell ref="A47:B47"/>
    <mergeCell ref="C47:D47"/>
    <mergeCell ref="E47:I47"/>
    <mergeCell ref="J47:M47"/>
    <mergeCell ref="A46:B46"/>
    <mergeCell ref="C46:D46"/>
    <mergeCell ref="E46:I46"/>
    <mergeCell ref="J46:M46"/>
    <mergeCell ref="A42:B42"/>
    <mergeCell ref="C42:D42"/>
    <mergeCell ref="E42:I42"/>
    <mergeCell ref="J42:M42"/>
    <mergeCell ref="A43:B43"/>
    <mergeCell ref="C43:D43"/>
    <mergeCell ref="E43:I43"/>
    <mergeCell ref="J43:M43"/>
    <mergeCell ref="A40:B40"/>
    <mergeCell ref="C40:D40"/>
    <mergeCell ref="E40:I40"/>
    <mergeCell ref="J40:M40"/>
    <mergeCell ref="A41:B41"/>
    <mergeCell ref="C41:D41"/>
    <mergeCell ref="E41:I41"/>
    <mergeCell ref="J41:M41"/>
    <mergeCell ref="A32:B32"/>
    <mergeCell ref="C32:D32"/>
    <mergeCell ref="E32:I32"/>
    <mergeCell ref="J32:M32"/>
    <mergeCell ref="A37:B37"/>
    <mergeCell ref="C37:D37"/>
    <mergeCell ref="E37:I37"/>
    <mergeCell ref="J37:M37"/>
    <mergeCell ref="A38:B38"/>
    <mergeCell ref="C38:D38"/>
    <mergeCell ref="E38:I38"/>
    <mergeCell ref="J38:M38"/>
    <mergeCell ref="A35:B35"/>
    <mergeCell ref="C35:D35"/>
    <mergeCell ref="E35:I35"/>
    <mergeCell ref="J35:M35"/>
    <mergeCell ref="A36:B36"/>
    <mergeCell ref="C36:D36"/>
    <mergeCell ref="E36:I36"/>
    <mergeCell ref="J36:M36"/>
    <mergeCell ref="A24:B24"/>
    <mergeCell ref="C24:D24"/>
    <mergeCell ref="E24:I24"/>
    <mergeCell ref="J24:M24"/>
    <mergeCell ref="A29:B29"/>
    <mergeCell ref="C29:D29"/>
    <mergeCell ref="E29:I29"/>
    <mergeCell ref="J29:M29"/>
    <mergeCell ref="A27:B27"/>
    <mergeCell ref="C27:D27"/>
    <mergeCell ref="E27:I27"/>
    <mergeCell ref="J27:M27"/>
    <mergeCell ref="A28:B28"/>
    <mergeCell ref="C28:D28"/>
    <mergeCell ref="E28:I28"/>
    <mergeCell ref="J28:M28"/>
    <mergeCell ref="A30:B30"/>
    <mergeCell ref="C30:D30"/>
    <mergeCell ref="E30:I30"/>
    <mergeCell ref="J30:M30"/>
    <mergeCell ref="A39:B39"/>
    <mergeCell ref="C39:D39"/>
    <mergeCell ref="E39:I39"/>
    <mergeCell ref="J39:M39"/>
    <mergeCell ref="A26:B26"/>
    <mergeCell ref="C26:D26"/>
    <mergeCell ref="E26:I26"/>
    <mergeCell ref="J26:M26"/>
    <mergeCell ref="A33:B33"/>
    <mergeCell ref="C33:D33"/>
    <mergeCell ref="E33:I33"/>
    <mergeCell ref="J33:M33"/>
    <mergeCell ref="A34:B34"/>
    <mergeCell ref="C34:D34"/>
    <mergeCell ref="E34:I34"/>
    <mergeCell ref="J34:M34"/>
    <mergeCell ref="A31:B31"/>
    <mergeCell ref="C31:D31"/>
    <mergeCell ref="E31:I31"/>
    <mergeCell ref="J31:M31"/>
    <mergeCell ref="A20:B20"/>
    <mergeCell ref="C20:D20"/>
    <mergeCell ref="E20:I20"/>
    <mergeCell ref="J20:M20"/>
    <mergeCell ref="A19:B19"/>
    <mergeCell ref="C19:D19"/>
    <mergeCell ref="E19:I19"/>
    <mergeCell ref="J19:M19"/>
    <mergeCell ref="A25:B25"/>
    <mergeCell ref="C25:D25"/>
    <mergeCell ref="E25:I25"/>
    <mergeCell ref="J25:M25"/>
    <mergeCell ref="A21:B21"/>
    <mergeCell ref="C21:D21"/>
    <mergeCell ref="E21:I21"/>
    <mergeCell ref="J21:M21"/>
    <mergeCell ref="A22:B22"/>
    <mergeCell ref="C22:D22"/>
    <mergeCell ref="E22:I22"/>
    <mergeCell ref="J22:M22"/>
    <mergeCell ref="A23:B23"/>
    <mergeCell ref="C23:D23"/>
    <mergeCell ref="E23:I23"/>
    <mergeCell ref="J23:M23"/>
    <mergeCell ref="A17:B17"/>
    <mergeCell ref="C17:D17"/>
    <mergeCell ref="E17:I17"/>
    <mergeCell ref="J17:M17"/>
    <mergeCell ref="A18:B18"/>
    <mergeCell ref="C18:D18"/>
    <mergeCell ref="E18:I18"/>
    <mergeCell ref="J18:M18"/>
    <mergeCell ref="A15:B15"/>
    <mergeCell ref="C15:D15"/>
    <mergeCell ref="E15:I15"/>
    <mergeCell ref="J15:M15"/>
    <mergeCell ref="A16:B16"/>
    <mergeCell ref="C16:D16"/>
    <mergeCell ref="E16:I16"/>
    <mergeCell ref="J16:M16"/>
    <mergeCell ref="A13:B13"/>
    <mergeCell ref="C13:D13"/>
    <mergeCell ref="E13:I13"/>
    <mergeCell ref="J13:M13"/>
    <mergeCell ref="A14:B14"/>
    <mergeCell ref="C14:D14"/>
    <mergeCell ref="E14:I14"/>
    <mergeCell ref="J14:M14"/>
    <mergeCell ref="A12:B12"/>
    <mergeCell ref="C12:D12"/>
    <mergeCell ref="E12:I12"/>
    <mergeCell ref="J12:M12"/>
    <mergeCell ref="A10:B10"/>
    <mergeCell ref="C10:D10"/>
    <mergeCell ref="E10:I10"/>
    <mergeCell ref="J10:M10"/>
    <mergeCell ref="A11:B11"/>
    <mergeCell ref="C11:D11"/>
    <mergeCell ref="E11:I11"/>
    <mergeCell ref="J11:M11"/>
    <mergeCell ref="A8:B8"/>
    <mergeCell ref="C8:D8"/>
    <mergeCell ref="E8:I8"/>
    <mergeCell ref="J8:M8"/>
    <mergeCell ref="A9:B9"/>
    <mergeCell ref="C9:D9"/>
    <mergeCell ref="E9:I9"/>
    <mergeCell ref="J9:M9"/>
    <mergeCell ref="A1:C1"/>
    <mergeCell ref="G1:I1"/>
    <mergeCell ref="A2:C2"/>
    <mergeCell ref="G2:I2"/>
    <mergeCell ref="A4:M6"/>
    <mergeCell ref="A7:B7"/>
    <mergeCell ref="C7:D7"/>
    <mergeCell ref="E7:I7"/>
    <mergeCell ref="J7:M7"/>
  </mergeCells>
  <pageMargins left="0.7" right="0.7" top="0.75" bottom="0.75" header="0.3" footer="0.3"/>
  <pageSetup orientation="portrait" horizontalDpi="300" r:id="rId1"/>
  <ignoredErrors>
    <ignoredError sqref="C75" unlocked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8"/>
  <dimension ref="A1:N195"/>
  <sheetViews>
    <sheetView showGridLines="0" zoomScaleNormal="100" workbookViewId="0">
      <selection activeCell="C8" sqref="C8:D8"/>
    </sheetView>
  </sheetViews>
  <sheetFormatPr defaultColWidth="9.109375" defaultRowHeight="13.2"/>
  <cols>
    <col min="1" max="1" width="25" customWidth="1"/>
    <col min="3" max="3" width="15.88671875" customWidth="1"/>
    <col min="4" max="4" width="14.33203125" customWidth="1"/>
  </cols>
  <sheetData>
    <row r="1" spans="1:14">
      <c r="A1" s="1505">
        <f>'1) Data Entry'!Relay_Location</f>
        <v>0</v>
      </c>
      <c r="B1" s="1459"/>
      <c r="C1" s="1460"/>
      <c r="D1" s="364"/>
      <c r="E1" s="1217">
        <f>'1) Data Entry'!K3</f>
        <v>0</v>
      </c>
      <c r="G1" s="1505">
        <f>'1) Data Entry'!Remote_Location</f>
        <v>0</v>
      </c>
      <c r="H1" s="1459"/>
      <c r="I1" s="1460"/>
      <c r="L1" s="587" t="s">
        <v>3</v>
      </c>
      <c r="M1" s="1218">
        <f>'1) Data Entry'!M1</f>
        <v>0</v>
      </c>
      <c r="N1" s="21"/>
    </row>
    <row r="2" spans="1:14">
      <c r="A2" s="2200" t="s">
        <v>4</v>
      </c>
      <c r="B2" s="2200"/>
      <c r="C2" s="2200"/>
      <c r="D2" s="28"/>
      <c r="E2" s="579" t="s">
        <v>5</v>
      </c>
      <c r="F2" s="26"/>
      <c r="G2" s="2200" t="s">
        <v>6</v>
      </c>
      <c r="H2" s="2200"/>
      <c r="I2" s="2200"/>
      <c r="J2" s="1123"/>
      <c r="K2" s="26"/>
      <c r="L2" s="587" t="s">
        <v>7</v>
      </c>
      <c r="M2" s="1219">
        <f>'1) Data Entry'!Calc_By</f>
        <v>0</v>
      </c>
      <c r="N2" s="30"/>
    </row>
    <row r="3" spans="1:14">
      <c r="A3" s="896"/>
      <c r="B3" s="25"/>
      <c r="C3" s="28"/>
      <c r="D3" s="28"/>
      <c r="E3" s="26"/>
      <c r="F3" s="26"/>
      <c r="G3" s="25"/>
      <c r="H3" s="28"/>
      <c r="I3" s="28"/>
      <c r="J3" s="1123"/>
      <c r="K3" s="26"/>
      <c r="L3" s="587" t="s">
        <v>8</v>
      </c>
      <c r="M3" s="1219">
        <f>'1) Data Entry'!Checked_By</f>
        <v>0</v>
      </c>
      <c r="N3" s="30"/>
    </row>
    <row r="4" spans="1:14" ht="12.75" customHeight="1">
      <c r="A4" s="2218" t="s">
        <v>2080</v>
      </c>
      <c r="B4" s="2218"/>
      <c r="C4" s="2218"/>
      <c r="D4" s="2218"/>
      <c r="E4" s="2218"/>
      <c r="F4" s="2218"/>
      <c r="G4" s="2218"/>
      <c r="H4" s="2218"/>
      <c r="I4" s="2218"/>
      <c r="J4" s="2218"/>
      <c r="K4" s="2218"/>
      <c r="L4" s="2218"/>
      <c r="M4" s="2218"/>
      <c r="N4" s="30"/>
    </row>
    <row r="5" spans="1:14" ht="20.25" customHeight="1">
      <c r="A5" s="2218"/>
      <c r="B5" s="2218"/>
      <c r="C5" s="2218"/>
      <c r="D5" s="2218"/>
      <c r="E5" s="2218"/>
      <c r="F5" s="2218"/>
      <c r="G5" s="2218"/>
      <c r="H5" s="2218"/>
      <c r="I5" s="2218"/>
      <c r="J5" s="2218"/>
      <c r="K5" s="2218"/>
      <c r="L5" s="2218"/>
      <c r="M5" s="2218"/>
      <c r="N5" s="30"/>
    </row>
    <row r="6" spans="1:14" ht="42" customHeight="1" thickBot="1">
      <c r="A6" s="2219"/>
      <c r="B6" s="2219"/>
      <c r="C6" s="2219"/>
      <c r="D6" s="2219"/>
      <c r="E6" s="2219"/>
      <c r="F6" s="2219"/>
      <c r="G6" s="2219"/>
      <c r="H6" s="2219"/>
      <c r="I6" s="2219"/>
      <c r="J6" s="2219"/>
      <c r="K6" s="2219"/>
      <c r="L6" s="2219"/>
      <c r="M6" s="2219"/>
      <c r="N6" s="30"/>
    </row>
    <row r="7" spans="1:14" ht="13.8" thickBot="1">
      <c r="A7" s="2193" t="s">
        <v>1655</v>
      </c>
      <c r="B7" s="2194"/>
      <c r="C7" s="2195" t="s">
        <v>1656</v>
      </c>
      <c r="D7" s="2195"/>
      <c r="E7" s="2201" t="s">
        <v>1657</v>
      </c>
      <c r="F7" s="2202"/>
      <c r="G7" s="2202"/>
      <c r="H7" s="2202"/>
      <c r="I7" s="2203"/>
      <c r="J7" s="2195" t="s">
        <v>1658</v>
      </c>
      <c r="K7" s="2195"/>
      <c r="L7" s="2195"/>
      <c r="M7" s="2194"/>
    </row>
    <row r="8" spans="1:14">
      <c r="A8" s="2196" t="s">
        <v>1659</v>
      </c>
      <c r="B8" s="2197"/>
      <c r="C8" s="2198" t="str">
        <f>MID('1) Data Entry'!G3&amp;","&amp;'1) Data Entry'!E16&amp;","&amp;'1) Data Entry'!M3&amp;","&amp;'1) Data Entry'!K3,1,39)</f>
        <v>,,,</v>
      </c>
      <c r="D8" s="2199"/>
      <c r="E8" s="2204" t="s">
        <v>1660</v>
      </c>
      <c r="F8" s="2205"/>
      <c r="G8" s="2205"/>
      <c r="H8" s="2205"/>
      <c r="I8" s="2206"/>
      <c r="J8" s="2207"/>
      <c r="K8" s="2207"/>
      <c r="L8" s="2207"/>
      <c r="M8" s="2197"/>
    </row>
    <row r="9" spans="1:14">
      <c r="A9" s="2191" t="s">
        <v>367</v>
      </c>
      <c r="B9" s="2187"/>
      <c r="C9" s="2186">
        <f ca="1">CTR/5</f>
        <v>0</v>
      </c>
      <c r="D9" s="2186"/>
      <c r="E9" s="2183" t="s">
        <v>2081</v>
      </c>
      <c r="F9" s="2184"/>
      <c r="G9" s="2184"/>
      <c r="H9" s="2184"/>
      <c r="I9" s="2185"/>
      <c r="J9" s="2186" t="s">
        <v>2082</v>
      </c>
      <c r="K9" s="2186"/>
      <c r="L9" s="2186"/>
      <c r="M9" s="2187"/>
    </row>
    <row r="10" spans="1:14">
      <c r="A10" s="2191" t="s">
        <v>2123</v>
      </c>
      <c r="B10" s="2187"/>
      <c r="C10" s="2186">
        <f>_CTRX/5</f>
        <v>0</v>
      </c>
      <c r="D10" s="2186"/>
      <c r="E10" s="2183" t="s">
        <v>2084</v>
      </c>
      <c r="F10" s="2184"/>
      <c r="G10" s="2184"/>
      <c r="H10" s="2184"/>
      <c r="I10" s="2185"/>
      <c r="J10" s="2186" t="s">
        <v>2085</v>
      </c>
      <c r="K10" s="2186"/>
      <c r="L10" s="2186"/>
      <c r="M10" s="2187"/>
    </row>
    <row r="11" spans="1:14">
      <c r="A11" s="2191" t="s">
        <v>369</v>
      </c>
      <c r="B11" s="2187"/>
      <c r="C11" s="2186">
        <f ca="1">PTR</f>
        <v>0</v>
      </c>
      <c r="D11" s="2186"/>
      <c r="E11" s="2183" t="s">
        <v>2086</v>
      </c>
      <c r="F11" s="2184"/>
      <c r="G11" s="2184"/>
      <c r="H11" s="2184"/>
      <c r="I11" s="2185"/>
      <c r="J11" s="2186" t="s">
        <v>2087</v>
      </c>
      <c r="K11" s="2186"/>
      <c r="L11" s="2186"/>
      <c r="M11" s="2187"/>
    </row>
    <row r="12" spans="1:14">
      <c r="A12" s="2191" t="s">
        <v>2088</v>
      </c>
      <c r="B12" s="2187"/>
      <c r="C12" s="2209">
        <f>_VAZR</f>
        <v>0</v>
      </c>
      <c r="D12" s="2186"/>
      <c r="E12" s="2183" t="s">
        <v>2089</v>
      </c>
      <c r="F12" s="2184"/>
      <c r="G12" s="2184"/>
      <c r="H12" s="2184"/>
      <c r="I12" s="2185"/>
      <c r="J12" s="2186" t="s">
        <v>2090</v>
      </c>
      <c r="K12" s="2186"/>
      <c r="L12" s="2186"/>
      <c r="M12" s="2187"/>
    </row>
    <row r="13" spans="1:14">
      <c r="A13" s="2191" t="s">
        <v>2091</v>
      </c>
      <c r="B13" s="2187"/>
      <c r="C13" s="2208" t="e">
        <f ca="1">'1) Data Entry'!E16*1000/(PTR*SQRT(3))</f>
        <v>#DIV/0!</v>
      </c>
      <c r="D13" s="2208"/>
      <c r="E13" s="2183" t="s">
        <v>2092</v>
      </c>
      <c r="F13" s="2184"/>
      <c r="G13" s="2184"/>
      <c r="H13" s="2184"/>
      <c r="I13" s="2185"/>
      <c r="J13" s="2186" t="s">
        <v>2093</v>
      </c>
      <c r="K13" s="2186"/>
      <c r="L13" s="2186"/>
      <c r="M13" s="2187"/>
    </row>
    <row r="14" spans="1:14">
      <c r="A14" s="2191" t="s">
        <v>1025</v>
      </c>
      <c r="B14" s="2187"/>
      <c r="C14" s="2186" t="e">
        <f ca="1">_Z1MAG</f>
        <v>#DIV/0!</v>
      </c>
      <c r="D14" s="2186"/>
      <c r="E14" s="2183" t="s">
        <v>1679</v>
      </c>
      <c r="F14" s="2184"/>
      <c r="G14" s="2184"/>
      <c r="H14" s="2184"/>
      <c r="I14" s="2185"/>
      <c r="J14" s="2186" t="s">
        <v>1680</v>
      </c>
      <c r="K14" s="2186"/>
      <c r="L14" s="2186"/>
      <c r="M14" s="2187"/>
    </row>
    <row r="15" spans="1:14">
      <c r="A15" s="2191" t="s">
        <v>1027</v>
      </c>
      <c r="B15" s="2187"/>
      <c r="C15" s="2186" t="e">
        <f>_Z1ANG</f>
        <v>#DIV/0!</v>
      </c>
      <c r="D15" s="2186"/>
      <c r="E15" s="2183" t="s">
        <v>1681</v>
      </c>
      <c r="F15" s="2184"/>
      <c r="G15" s="2184"/>
      <c r="H15" s="2184"/>
      <c r="I15" s="2185"/>
      <c r="J15" s="2186" t="s">
        <v>1682</v>
      </c>
      <c r="K15" s="2186"/>
      <c r="L15" s="2186"/>
      <c r="M15" s="2187"/>
    </row>
    <row r="16" spans="1:14">
      <c r="A16" s="2191" t="s">
        <v>1049</v>
      </c>
      <c r="B16" s="2187"/>
      <c r="C16" s="2186" t="e">
        <f ca="1">_Z0MAG</f>
        <v>#DIV/0!</v>
      </c>
      <c r="D16" s="2186"/>
      <c r="E16" s="2183" t="s">
        <v>1683</v>
      </c>
      <c r="F16" s="2184"/>
      <c r="G16" s="2184"/>
      <c r="H16" s="2184"/>
      <c r="I16" s="2185"/>
      <c r="J16" s="2186" t="s">
        <v>1684</v>
      </c>
      <c r="K16" s="2186"/>
      <c r="L16" s="2186"/>
      <c r="M16" s="2187"/>
    </row>
    <row r="17" spans="1:13">
      <c r="A17" s="2191" t="s">
        <v>1050</v>
      </c>
      <c r="B17" s="2187"/>
      <c r="C17" s="2186" t="e">
        <f>_Z0ANG</f>
        <v>#DIV/0!</v>
      </c>
      <c r="D17" s="2186"/>
      <c r="E17" s="2183" t="s">
        <v>1685</v>
      </c>
      <c r="F17" s="2184"/>
      <c r="G17" s="2184"/>
      <c r="H17" s="2184"/>
      <c r="I17" s="2185"/>
      <c r="J17" s="2186" t="s">
        <v>1686</v>
      </c>
      <c r="K17" s="2186"/>
      <c r="L17" s="2186"/>
      <c r="M17" s="2187"/>
    </row>
    <row r="18" spans="1:13">
      <c r="A18" s="2191" t="s">
        <v>387</v>
      </c>
      <c r="B18" s="2187"/>
      <c r="C18" s="2208">
        <f>'1) Data Entry'!E59</f>
        <v>0</v>
      </c>
      <c r="D18" s="2186"/>
      <c r="E18" s="2183" t="s">
        <v>1687</v>
      </c>
      <c r="F18" s="2184"/>
      <c r="G18" s="2184"/>
      <c r="H18" s="2184"/>
      <c r="I18" s="2185"/>
      <c r="J18" s="2186" t="s">
        <v>714</v>
      </c>
      <c r="K18" s="2186"/>
      <c r="L18" s="2186"/>
      <c r="M18" s="2187"/>
    </row>
    <row r="19" spans="1:13">
      <c r="A19" s="2191" t="s">
        <v>2094</v>
      </c>
      <c r="B19" s="2187"/>
      <c r="C19" s="2210">
        <v>4</v>
      </c>
      <c r="D19" s="2211"/>
      <c r="E19" s="2183" t="s">
        <v>1689</v>
      </c>
      <c r="F19" s="2184"/>
      <c r="G19" s="2184"/>
      <c r="H19" s="2184"/>
      <c r="I19" s="2185"/>
      <c r="J19" s="2186" t="s">
        <v>1690</v>
      </c>
      <c r="K19" s="2186"/>
      <c r="L19" s="2186"/>
      <c r="M19" s="2187"/>
    </row>
    <row r="20" spans="1:13">
      <c r="A20" s="2191" t="s">
        <v>1100</v>
      </c>
      <c r="B20" s="2187"/>
      <c r="C20" s="2208" t="e">
        <f ca="1">'7) Relay Calc'!H51</f>
        <v>#DIV/0!</v>
      </c>
      <c r="D20" s="2186"/>
      <c r="E20" s="2183" t="s">
        <v>2095</v>
      </c>
      <c r="F20" s="2184"/>
      <c r="G20" s="2184"/>
      <c r="H20" s="2184"/>
      <c r="I20" s="2185"/>
      <c r="J20" s="2186" t="s">
        <v>1701</v>
      </c>
      <c r="K20" s="2186"/>
      <c r="L20" s="2186"/>
      <c r="M20" s="2187"/>
    </row>
    <row r="21" spans="1:13">
      <c r="A21" s="2191" t="s">
        <v>1103</v>
      </c>
      <c r="B21" s="2187"/>
      <c r="C21" s="2208" t="e">
        <f ca="1">'7) Relay Calc'!H52</f>
        <v>#DIV/0!</v>
      </c>
      <c r="D21" s="2186"/>
      <c r="E21" s="2183" t="s">
        <v>2096</v>
      </c>
      <c r="F21" s="2184"/>
      <c r="G21" s="2184"/>
      <c r="H21" s="2184"/>
      <c r="I21" s="2185"/>
      <c r="J21" s="2186" t="s">
        <v>1704</v>
      </c>
      <c r="K21" s="2186"/>
      <c r="L21" s="2186"/>
      <c r="M21" s="2187"/>
    </row>
    <row r="22" spans="1:13">
      <c r="A22" s="2191" t="s">
        <v>1106</v>
      </c>
      <c r="B22" s="2187"/>
      <c r="C22" s="2208" t="e">
        <f ca="1">'7) Relay Calc'!H53</f>
        <v>#DIV/0!</v>
      </c>
      <c r="D22" s="2186"/>
      <c r="E22" s="2183" t="s">
        <v>2097</v>
      </c>
      <c r="F22" s="2184"/>
      <c r="G22" s="2184"/>
      <c r="H22" s="2184"/>
      <c r="I22" s="2185"/>
      <c r="J22" s="2186" t="s">
        <v>1707</v>
      </c>
      <c r="K22" s="2186"/>
      <c r="L22" s="2186"/>
      <c r="M22" s="2187"/>
    </row>
    <row r="23" spans="1:13">
      <c r="A23" s="2191" t="s">
        <v>1109</v>
      </c>
      <c r="B23" s="2187"/>
      <c r="C23" s="2208" t="e">
        <f ca="1">'7) Relay Calc'!H54</f>
        <v>#DIV/0!</v>
      </c>
      <c r="D23" s="2186"/>
      <c r="E23" s="2183" t="s">
        <v>2098</v>
      </c>
      <c r="F23" s="2184"/>
      <c r="G23" s="2184"/>
      <c r="H23" s="2184"/>
      <c r="I23" s="2185"/>
      <c r="J23" s="2186" t="s">
        <v>1710</v>
      </c>
      <c r="K23" s="2186"/>
      <c r="L23" s="2186"/>
      <c r="M23" s="2187"/>
    </row>
    <row r="24" spans="1:13">
      <c r="A24" s="2191" t="s">
        <v>570</v>
      </c>
      <c r="B24" s="2187"/>
      <c r="C24" s="2212" t="e">
        <f ca="1">_50PP1</f>
        <v>#DIV/0!</v>
      </c>
      <c r="D24" s="2213"/>
      <c r="E24" s="2183" t="s">
        <v>2099</v>
      </c>
      <c r="F24" s="2184"/>
      <c r="G24" s="2184"/>
      <c r="H24" s="2184"/>
      <c r="I24" s="2185"/>
      <c r="J24" s="2186" t="s">
        <v>1713</v>
      </c>
      <c r="K24" s="2186"/>
      <c r="L24" s="2186"/>
      <c r="M24" s="2187"/>
    </row>
    <row r="25" spans="1:13">
      <c r="A25" s="2191" t="s">
        <v>1691</v>
      </c>
      <c r="B25" s="2187"/>
      <c r="C25" s="2210">
        <v>4</v>
      </c>
      <c r="D25" s="2211"/>
      <c r="E25" s="2183" t="s">
        <v>1692</v>
      </c>
      <c r="F25" s="2184"/>
      <c r="G25" s="2184"/>
      <c r="H25" s="2184"/>
      <c r="I25" s="2185"/>
      <c r="J25" s="2186" t="s">
        <v>1693</v>
      </c>
      <c r="K25" s="2186"/>
      <c r="L25" s="2186"/>
      <c r="M25" s="2187"/>
    </row>
    <row r="26" spans="1:13">
      <c r="A26" s="2191" t="s">
        <v>1114</v>
      </c>
      <c r="B26" s="2187"/>
      <c r="C26" s="2208" t="e">
        <f ca="1">'7) Relay Calc'!H57</f>
        <v>#DIV/0!</v>
      </c>
      <c r="D26" s="2186"/>
      <c r="E26" s="2183" t="s">
        <v>1717</v>
      </c>
      <c r="F26" s="2184"/>
      <c r="G26" s="2184"/>
      <c r="H26" s="2184"/>
      <c r="I26" s="2185"/>
      <c r="J26" s="2186" t="s">
        <v>1718</v>
      </c>
      <c r="K26" s="2186"/>
      <c r="L26" s="2186"/>
      <c r="M26" s="2187"/>
    </row>
    <row r="27" spans="1:13">
      <c r="A27" s="2191" t="s">
        <v>1116</v>
      </c>
      <c r="B27" s="2187"/>
      <c r="C27" s="2208" t="e">
        <f ca="1">'7) Relay Calc'!H58</f>
        <v>#DIV/0!</v>
      </c>
      <c r="D27" s="2186"/>
      <c r="E27" s="2183" t="s">
        <v>1719</v>
      </c>
      <c r="F27" s="2184"/>
      <c r="G27" s="2184"/>
      <c r="H27" s="2184"/>
      <c r="I27" s="2185"/>
      <c r="J27" s="2186" t="s">
        <v>1720</v>
      </c>
      <c r="K27" s="2186"/>
      <c r="L27" s="2186"/>
      <c r="M27" s="2187"/>
    </row>
    <row r="28" spans="1:13">
      <c r="A28" s="2191" t="s">
        <v>1118</v>
      </c>
      <c r="B28" s="2187"/>
      <c r="C28" s="2208" t="e">
        <f ca="1">'7) Relay Calc'!H59</f>
        <v>#DIV/0!</v>
      </c>
      <c r="D28" s="2186"/>
      <c r="E28" s="2183" t="s">
        <v>1721</v>
      </c>
      <c r="F28" s="2184"/>
      <c r="G28" s="2184"/>
      <c r="H28" s="2184"/>
      <c r="I28" s="2185"/>
      <c r="J28" s="2186" t="s">
        <v>1722</v>
      </c>
      <c r="K28" s="2186"/>
      <c r="L28" s="2186"/>
      <c r="M28" s="2187"/>
    </row>
    <row r="29" spans="1:13">
      <c r="A29" s="2191" t="s">
        <v>1120</v>
      </c>
      <c r="B29" s="2187"/>
      <c r="C29" s="2208" t="e">
        <f ca="1">'7) Relay Calc'!H60</f>
        <v>#DIV/0!</v>
      </c>
      <c r="D29" s="2186"/>
      <c r="E29" s="2183" t="s">
        <v>1723</v>
      </c>
      <c r="F29" s="2184"/>
      <c r="G29" s="2184"/>
      <c r="H29" s="2184"/>
      <c r="I29" s="2185"/>
      <c r="J29" s="2186" t="s">
        <v>1724</v>
      </c>
      <c r="K29" s="2186"/>
      <c r="L29" s="2186"/>
      <c r="M29" s="2187"/>
    </row>
    <row r="30" spans="1:13">
      <c r="A30" s="2191" t="s">
        <v>1134</v>
      </c>
      <c r="B30" s="2187"/>
      <c r="C30" s="2186" t="e">
        <f ca="1">'7) Relay Calc'!H72</f>
        <v>#DIV/0!</v>
      </c>
      <c r="D30" s="2186"/>
      <c r="E30" s="2183" t="s">
        <v>1694</v>
      </c>
      <c r="F30" s="2184"/>
      <c r="G30" s="2184"/>
      <c r="H30" s="2184"/>
      <c r="I30" s="2185"/>
      <c r="J30" s="2186" t="s">
        <v>1695</v>
      </c>
      <c r="K30" s="2186"/>
      <c r="L30" s="2186"/>
      <c r="M30" s="2187"/>
    </row>
    <row r="31" spans="1:13">
      <c r="A31" s="2191" t="s">
        <v>1727</v>
      </c>
      <c r="B31" s="2187"/>
      <c r="C31" s="2208" t="e">
        <f ca="1">'7) Relay Calc'!D78</f>
        <v>#DIV/0!</v>
      </c>
      <c r="D31" s="2186"/>
      <c r="E31" s="2183" t="s">
        <v>1728</v>
      </c>
      <c r="F31" s="2184"/>
      <c r="G31" s="2184"/>
      <c r="H31" s="2184"/>
      <c r="I31" s="2185"/>
      <c r="J31" s="2186" t="s">
        <v>1729</v>
      </c>
      <c r="K31" s="2186"/>
      <c r="L31" s="2186"/>
      <c r="M31" s="2187"/>
    </row>
    <row r="32" spans="1:13">
      <c r="A32" s="2191" t="s">
        <v>1140</v>
      </c>
      <c r="B32" s="2187"/>
      <c r="C32" s="2208" t="e">
        <f ca="1">'7) Relay Calc'!L78</f>
        <v>#DIV/0!</v>
      </c>
      <c r="D32" s="2186"/>
      <c r="E32" s="2183" t="s">
        <v>1730</v>
      </c>
      <c r="F32" s="2184"/>
      <c r="G32" s="2184"/>
      <c r="H32" s="2184"/>
      <c r="I32" s="2185"/>
      <c r="J32" s="2186" t="s">
        <v>1729</v>
      </c>
      <c r="K32" s="2186"/>
      <c r="L32" s="2186"/>
      <c r="M32" s="2187"/>
    </row>
    <row r="33" spans="1:13">
      <c r="A33" s="2191" t="s">
        <v>1731</v>
      </c>
      <c r="B33" s="2187"/>
      <c r="C33" s="2208" t="e">
        <f ca="1">'7) Relay Calc'!D79</f>
        <v>#DIV/0!</v>
      </c>
      <c r="D33" s="2186"/>
      <c r="E33" s="2183" t="s">
        <v>1732</v>
      </c>
      <c r="F33" s="2184"/>
      <c r="G33" s="2184"/>
      <c r="H33" s="2184"/>
      <c r="I33" s="2185"/>
      <c r="J33" s="2186" t="s">
        <v>1733</v>
      </c>
      <c r="K33" s="2186"/>
      <c r="L33" s="2186"/>
      <c r="M33" s="2187"/>
    </row>
    <row r="34" spans="1:13">
      <c r="A34" s="2191" t="s">
        <v>1142</v>
      </c>
      <c r="B34" s="2187"/>
      <c r="C34" s="2208" t="e">
        <f ca="1">'7) Relay Calc'!L79</f>
        <v>#DIV/0!</v>
      </c>
      <c r="D34" s="2186"/>
      <c r="E34" s="2183" t="s">
        <v>1734</v>
      </c>
      <c r="F34" s="2184"/>
      <c r="G34" s="2184"/>
      <c r="H34" s="2184"/>
      <c r="I34" s="2185"/>
      <c r="J34" s="2186" t="s">
        <v>1733</v>
      </c>
      <c r="K34" s="2186"/>
      <c r="L34" s="2186"/>
      <c r="M34" s="2187"/>
    </row>
    <row r="35" spans="1:13">
      <c r="A35" s="2191" t="s">
        <v>1735</v>
      </c>
      <c r="B35" s="2187"/>
      <c r="C35" s="2208" t="e">
        <f ca="1">'7) Relay Calc'!D81</f>
        <v>#DIV/0!</v>
      </c>
      <c r="D35" s="2186"/>
      <c r="E35" s="2183" t="s">
        <v>1736</v>
      </c>
      <c r="F35" s="2184"/>
      <c r="G35" s="2184"/>
      <c r="H35" s="2184"/>
      <c r="I35" s="2185"/>
      <c r="J35" s="2186" t="s">
        <v>1737</v>
      </c>
      <c r="K35" s="2186"/>
      <c r="L35" s="2186"/>
      <c r="M35" s="2187"/>
    </row>
    <row r="36" spans="1:13">
      <c r="A36" s="2191" t="s">
        <v>1148</v>
      </c>
      <c r="B36" s="2187"/>
      <c r="C36" s="2208" t="e">
        <f ca="1">'7) Relay Calc'!L81</f>
        <v>#DIV/0!</v>
      </c>
      <c r="D36" s="2186"/>
      <c r="E36" s="2183" t="s">
        <v>1738</v>
      </c>
      <c r="F36" s="2184"/>
      <c r="G36" s="2184"/>
      <c r="H36" s="2184"/>
      <c r="I36" s="2185"/>
      <c r="J36" s="2186" t="s">
        <v>1737</v>
      </c>
      <c r="K36" s="2186"/>
      <c r="L36" s="2186"/>
      <c r="M36" s="2187"/>
    </row>
    <row r="37" spans="1:13">
      <c r="A37" s="2191" t="s">
        <v>1064</v>
      </c>
      <c r="B37" s="2187"/>
      <c r="C37" s="2186" t="e">
        <f ca="1">ROUND('7) Relay Calc'!D37,3)</f>
        <v>#DIV/0!</v>
      </c>
      <c r="D37" s="2186"/>
      <c r="E37" s="2183" t="s">
        <v>1744</v>
      </c>
      <c r="F37" s="2184"/>
      <c r="G37" s="2184"/>
      <c r="H37" s="2184"/>
      <c r="I37" s="2185"/>
      <c r="J37" s="2186" t="s">
        <v>1745</v>
      </c>
      <c r="K37" s="2186"/>
      <c r="L37" s="2186"/>
      <c r="M37" s="2187"/>
    </row>
    <row r="38" spans="1:13">
      <c r="A38" s="2191" t="s">
        <v>1066</v>
      </c>
      <c r="B38" s="2187"/>
      <c r="C38" s="2208" t="e">
        <f ca="1">'7) Relay Calc'!J37</f>
        <v>#DIV/0!</v>
      </c>
      <c r="D38" s="2208"/>
      <c r="E38" s="2183" t="s">
        <v>1746</v>
      </c>
      <c r="F38" s="2184"/>
      <c r="G38" s="2184"/>
      <c r="H38" s="2184"/>
      <c r="I38" s="2185"/>
      <c r="J38" s="2186" t="s">
        <v>1745</v>
      </c>
      <c r="K38" s="2186"/>
      <c r="L38" s="2186"/>
      <c r="M38" s="2187"/>
    </row>
    <row r="39" spans="1:13">
      <c r="A39" s="2191" t="s">
        <v>1714</v>
      </c>
      <c r="B39" s="2187"/>
      <c r="C39" s="2210">
        <v>50</v>
      </c>
      <c r="D39" s="2211"/>
      <c r="E39" s="2183" t="s">
        <v>1715</v>
      </c>
      <c r="F39" s="2184"/>
      <c r="G39" s="2184"/>
      <c r="H39" s="2184"/>
      <c r="I39" s="2185"/>
      <c r="J39" s="2186" t="s">
        <v>1716</v>
      </c>
      <c r="K39" s="2186"/>
      <c r="L39" s="2186"/>
      <c r="M39" s="2187"/>
    </row>
    <row r="40" spans="1:13">
      <c r="A40" s="2191" t="s">
        <v>1747</v>
      </c>
      <c r="B40" s="2187"/>
      <c r="C40" s="2210">
        <v>50</v>
      </c>
      <c r="D40" s="2211"/>
      <c r="E40" s="2183" t="s">
        <v>1748</v>
      </c>
      <c r="F40" s="2184"/>
      <c r="G40" s="2184"/>
      <c r="H40" s="2184"/>
      <c r="I40" s="2185"/>
      <c r="J40" s="2186" t="s">
        <v>1749</v>
      </c>
      <c r="K40" s="2186"/>
      <c r="L40" s="2186"/>
      <c r="M40" s="2187"/>
    </row>
    <row r="41" spans="1:13">
      <c r="A41" s="2191" t="s">
        <v>1750</v>
      </c>
      <c r="B41" s="2187"/>
      <c r="C41" s="2210">
        <v>0</v>
      </c>
      <c r="D41" s="2211"/>
      <c r="E41" s="2183" t="s">
        <v>1751</v>
      </c>
      <c r="F41" s="2184"/>
      <c r="G41" s="2184"/>
      <c r="H41" s="2184"/>
      <c r="I41" s="2185"/>
      <c r="J41" s="2186" t="s">
        <v>1752</v>
      </c>
      <c r="K41" s="2186"/>
      <c r="L41" s="2186"/>
      <c r="M41" s="2187"/>
    </row>
    <row r="42" spans="1:13">
      <c r="A42" s="2191" t="s">
        <v>1753</v>
      </c>
      <c r="B42" s="2187"/>
      <c r="C42" s="2210">
        <v>20</v>
      </c>
      <c r="D42" s="2211"/>
      <c r="E42" s="2183" t="s">
        <v>1754</v>
      </c>
      <c r="F42" s="2184"/>
      <c r="G42" s="2184"/>
      <c r="H42" s="2184"/>
      <c r="I42" s="2185"/>
      <c r="J42" s="2186" t="s">
        <v>1755</v>
      </c>
      <c r="K42" s="2186"/>
      <c r="L42" s="2186"/>
      <c r="M42" s="2187"/>
    </row>
    <row r="43" spans="1:13">
      <c r="A43" s="2191" t="s">
        <v>1756</v>
      </c>
      <c r="B43" s="2187"/>
      <c r="C43" s="2210">
        <v>20</v>
      </c>
      <c r="D43" s="2211"/>
      <c r="E43" s="2183" t="s">
        <v>1757</v>
      </c>
      <c r="F43" s="2184"/>
      <c r="G43" s="2184"/>
      <c r="H43" s="2184"/>
      <c r="I43" s="2185"/>
      <c r="J43" s="2186" t="s">
        <v>1758</v>
      </c>
      <c r="K43" s="2186"/>
      <c r="L43" s="2186"/>
      <c r="M43" s="2187"/>
    </row>
    <row r="44" spans="1:13" s="692" customFormat="1">
      <c r="A44" s="2236" t="s">
        <v>1398</v>
      </c>
      <c r="B44" s="2237"/>
      <c r="C44" s="2238" t="e">
        <f ca="1">_50P1P</f>
        <v>#DIV/0!</v>
      </c>
      <c r="D44" s="2238"/>
      <c r="E44" s="2239" t="s">
        <v>1771</v>
      </c>
      <c r="F44" s="2240"/>
      <c r="G44" s="2240"/>
      <c r="H44" s="2240"/>
      <c r="I44" s="2241"/>
      <c r="J44" s="2238" t="s">
        <v>1604</v>
      </c>
      <c r="K44" s="2238"/>
      <c r="L44" s="2238"/>
      <c r="M44" s="2237"/>
    </row>
    <row r="45" spans="1:13">
      <c r="A45" s="2191" t="s">
        <v>1778</v>
      </c>
      <c r="B45" s="2187"/>
      <c r="C45" s="2192" t="e">
        <f ca="1">_50P2P</f>
        <v>#DIV/0!</v>
      </c>
      <c r="D45" s="2192"/>
      <c r="E45" s="2183" t="s">
        <v>1779</v>
      </c>
      <c r="F45" s="2184"/>
      <c r="G45" s="2184"/>
      <c r="H45" s="2184"/>
      <c r="I45" s="2185"/>
      <c r="J45" s="2186" t="s">
        <v>1780</v>
      </c>
      <c r="K45" s="2186"/>
      <c r="L45" s="2186"/>
      <c r="M45" s="2187"/>
    </row>
    <row r="46" spans="1:13">
      <c r="A46" s="2191" t="s">
        <v>1424</v>
      </c>
      <c r="B46" s="2187"/>
      <c r="C46" s="2192" t="e">
        <f ca="1">'11) BF Fault Det'!AA26</f>
        <v>#DIV/0!</v>
      </c>
      <c r="D46" s="2192"/>
      <c r="E46" s="2183" t="s">
        <v>1781</v>
      </c>
      <c r="F46" s="2184"/>
      <c r="G46" s="2184"/>
      <c r="H46" s="2184"/>
      <c r="I46" s="2185"/>
      <c r="J46" s="2186" t="s">
        <v>2100</v>
      </c>
      <c r="K46" s="2186"/>
      <c r="L46" s="2186"/>
      <c r="M46" s="2187"/>
    </row>
    <row r="47" spans="1:13" s="692" customFormat="1">
      <c r="A47" s="2236" t="s">
        <v>1772</v>
      </c>
      <c r="B47" s="2237"/>
      <c r="C47" s="2238">
        <f>'10) SOTF'!Q45</f>
        <v>2</v>
      </c>
      <c r="D47" s="2238"/>
      <c r="E47" s="2239" t="s">
        <v>1773</v>
      </c>
      <c r="F47" s="2240"/>
      <c r="G47" s="2240"/>
      <c r="H47" s="2240"/>
      <c r="I47" s="2241"/>
      <c r="J47" s="2238" t="s">
        <v>1774</v>
      </c>
      <c r="K47" s="2238"/>
      <c r="L47" s="2238"/>
      <c r="M47" s="2237"/>
    </row>
    <row r="48" spans="1:13">
      <c r="A48" s="2191" t="s">
        <v>629</v>
      </c>
      <c r="B48" s="2187"/>
      <c r="C48" s="2186" t="e">
        <f ca="1">_50G2P</f>
        <v>#DIV/0!</v>
      </c>
      <c r="D48" s="2186"/>
      <c r="E48" s="2183" t="s">
        <v>1784</v>
      </c>
      <c r="F48" s="2184"/>
      <c r="G48" s="2184"/>
      <c r="H48" s="2184"/>
      <c r="I48" s="2185"/>
      <c r="J48" s="2186" t="s">
        <v>1785</v>
      </c>
      <c r="K48" s="2186"/>
      <c r="L48" s="2186"/>
      <c r="M48" s="2187"/>
    </row>
    <row r="49" spans="1:14">
      <c r="A49" s="2191" t="s">
        <v>637</v>
      </c>
      <c r="B49" s="2187"/>
      <c r="C49" s="2186">
        <f>_50G3P</f>
        <v>0.5</v>
      </c>
      <c r="D49" s="2186"/>
      <c r="E49" s="2183" t="s">
        <v>1786</v>
      </c>
      <c r="F49" s="2184"/>
      <c r="G49" s="2184"/>
      <c r="H49" s="2184"/>
      <c r="I49" s="2185"/>
      <c r="J49" s="2186" t="s">
        <v>1787</v>
      </c>
      <c r="K49" s="2186"/>
      <c r="L49" s="2186"/>
      <c r="M49" s="2187"/>
    </row>
    <row r="50" spans="1:14">
      <c r="A50" s="2191" t="s">
        <v>1371</v>
      </c>
      <c r="B50" s="2187"/>
      <c r="C50" s="2186" t="e">
        <f ca="1">_50G4P</f>
        <v>#DIV/0!</v>
      </c>
      <c r="D50" s="2186"/>
      <c r="E50" s="2183" t="s">
        <v>1788</v>
      </c>
      <c r="F50" s="2184"/>
      <c r="G50" s="2184"/>
      <c r="H50" s="2184"/>
      <c r="I50" s="2185"/>
      <c r="J50" s="2186" t="s">
        <v>1789</v>
      </c>
      <c r="K50" s="2186"/>
      <c r="L50" s="2186"/>
      <c r="M50" s="2187"/>
    </row>
    <row r="51" spans="1:14" ht="36" customHeight="1">
      <c r="A51" s="2191" t="s">
        <v>2101</v>
      </c>
      <c r="B51" s="2187"/>
      <c r="C51" s="2210">
        <v>0.25</v>
      </c>
      <c r="D51" s="2211"/>
      <c r="E51" s="2183" t="s">
        <v>2102</v>
      </c>
      <c r="F51" s="2184"/>
      <c r="G51" s="2184"/>
      <c r="H51" s="2184"/>
      <c r="I51" s="2185"/>
      <c r="J51" s="2243" t="s">
        <v>2103</v>
      </c>
      <c r="K51" s="2244"/>
      <c r="L51" s="2244"/>
      <c r="M51" s="2245"/>
      <c r="N51" s="694" t="s">
        <v>1383</v>
      </c>
    </row>
    <row r="52" spans="1:14">
      <c r="A52" s="2191" t="s">
        <v>1790</v>
      </c>
      <c r="B52" s="2187"/>
      <c r="C52" s="2210">
        <v>1</v>
      </c>
      <c r="D52" s="2211"/>
      <c r="E52" s="2183" t="s">
        <v>1791</v>
      </c>
      <c r="F52" s="2184"/>
      <c r="G52" s="2184"/>
      <c r="H52" s="2184"/>
      <c r="I52" s="2185"/>
      <c r="J52" s="2186" t="s">
        <v>1792</v>
      </c>
      <c r="K52" s="2186"/>
      <c r="L52" s="2186"/>
      <c r="M52" s="2187"/>
    </row>
    <row r="53" spans="1:14">
      <c r="A53" s="2191" t="s">
        <v>1381</v>
      </c>
      <c r="B53" s="2187"/>
      <c r="C53" s="2186" t="e">
        <f ca="1">_50Q4P</f>
        <v>#DIV/0!</v>
      </c>
      <c r="D53" s="2186"/>
      <c r="E53" s="2183" t="s">
        <v>1793</v>
      </c>
      <c r="F53" s="2184"/>
      <c r="G53" s="2184"/>
      <c r="H53" s="2184"/>
      <c r="I53" s="2185"/>
      <c r="J53" s="2186" t="s">
        <v>1794</v>
      </c>
      <c r="K53" s="2186"/>
      <c r="L53" s="2186"/>
      <c r="M53" s="2187"/>
    </row>
    <row r="54" spans="1:14" s="692" customFormat="1">
      <c r="A54" s="2236" t="s">
        <v>1362</v>
      </c>
      <c r="B54" s="2237"/>
      <c r="C54" s="2238" t="e">
        <f ca="1">_51PP</f>
        <v>#DIV/0!</v>
      </c>
      <c r="D54" s="2238"/>
      <c r="E54" s="2239" t="s">
        <v>2104</v>
      </c>
      <c r="F54" s="2240"/>
      <c r="G54" s="2240"/>
      <c r="H54" s="2240"/>
      <c r="I54" s="2241"/>
      <c r="J54" s="2238" t="s">
        <v>1783</v>
      </c>
      <c r="K54" s="2238"/>
      <c r="L54" s="2238"/>
      <c r="M54" s="2237"/>
    </row>
    <row r="55" spans="1:14">
      <c r="A55" s="2191" t="s">
        <v>2105</v>
      </c>
      <c r="B55" s="2187"/>
      <c r="C55" s="2192" t="e">
        <f ca="1">_51S1P</f>
        <v>#DIV/0!</v>
      </c>
      <c r="D55" s="2192"/>
      <c r="E55" s="2183" t="s">
        <v>2106</v>
      </c>
      <c r="F55" s="2184"/>
      <c r="G55" s="2184"/>
      <c r="H55" s="2184"/>
      <c r="I55" s="2185"/>
      <c r="J55" s="2186" t="s">
        <v>1797</v>
      </c>
      <c r="K55" s="2186"/>
      <c r="L55" s="2186"/>
      <c r="M55" s="2187"/>
    </row>
    <row r="56" spans="1:14">
      <c r="A56" s="2191" t="s">
        <v>2107</v>
      </c>
      <c r="B56" s="2187"/>
      <c r="C56" s="2208" t="str">
        <f>'8) LOP &amp; Ground TOC'!G75</f>
        <v>U2</v>
      </c>
      <c r="D56" s="2186"/>
      <c r="E56" s="2183" t="s">
        <v>2108</v>
      </c>
      <c r="F56" s="2184"/>
      <c r="G56" s="2184"/>
      <c r="H56" s="2184"/>
      <c r="I56" s="2185"/>
      <c r="J56" s="2186" t="s">
        <v>1800</v>
      </c>
      <c r="K56" s="2186"/>
      <c r="L56" s="2186"/>
      <c r="M56" s="2187"/>
    </row>
    <row r="57" spans="1:14">
      <c r="A57" s="2191" t="s">
        <v>2109</v>
      </c>
      <c r="B57" s="2187"/>
      <c r="C57" s="2186" t="e">
        <f ca="1">'8) LOP &amp; Ground TOC'!S74</f>
        <v>#DIV/0!</v>
      </c>
      <c r="D57" s="2186"/>
      <c r="E57" s="2183" t="s">
        <v>2110</v>
      </c>
      <c r="F57" s="2184"/>
      <c r="G57" s="2184"/>
      <c r="H57" s="2184"/>
      <c r="I57" s="2185"/>
      <c r="J57" s="2186" t="s">
        <v>1803</v>
      </c>
      <c r="K57" s="2186"/>
      <c r="L57" s="2186"/>
      <c r="M57" s="2187"/>
    </row>
    <row r="58" spans="1:14">
      <c r="A58" s="2191" t="s">
        <v>2111</v>
      </c>
      <c r="B58" s="2187"/>
      <c r="C58" s="2186" t="e">
        <f ca="1">_51QP</f>
        <v>#DIV/0!</v>
      </c>
      <c r="D58" s="2186"/>
      <c r="E58" s="2183" t="s">
        <v>2112</v>
      </c>
      <c r="F58" s="2184"/>
      <c r="G58" s="2184"/>
      <c r="H58" s="2184"/>
      <c r="I58" s="2185"/>
      <c r="J58" s="2186" t="s">
        <v>1806</v>
      </c>
      <c r="K58" s="2186"/>
      <c r="L58" s="2186"/>
      <c r="M58" s="2187"/>
    </row>
    <row r="59" spans="1:14" s="692" customFormat="1">
      <c r="A59" s="2236" t="s">
        <v>1759</v>
      </c>
      <c r="B59" s="2237"/>
      <c r="C59" s="2238" t="e">
        <f ca="1">_ZLF</f>
        <v>#DIV/0!</v>
      </c>
      <c r="D59" s="2238"/>
      <c r="E59" s="2239" t="s">
        <v>1760</v>
      </c>
      <c r="F59" s="2240"/>
      <c r="G59" s="2240"/>
      <c r="H59" s="2240"/>
      <c r="I59" s="2241"/>
      <c r="J59" s="2238" t="s">
        <v>1761</v>
      </c>
      <c r="K59" s="2238"/>
      <c r="L59" s="2238"/>
      <c r="M59" s="2237"/>
    </row>
    <row r="60" spans="1:14" s="692" customFormat="1">
      <c r="A60" s="2236" t="s">
        <v>1762</v>
      </c>
      <c r="B60" s="2237"/>
      <c r="C60" s="2238" t="e">
        <f ca="1">_ZLF</f>
        <v>#DIV/0!</v>
      </c>
      <c r="D60" s="2238"/>
      <c r="E60" s="2239" t="s">
        <v>1763</v>
      </c>
      <c r="F60" s="2240"/>
      <c r="G60" s="2240"/>
      <c r="H60" s="2240"/>
      <c r="I60" s="2241"/>
      <c r="J60" s="2238" t="s">
        <v>1764</v>
      </c>
      <c r="K60" s="2238"/>
      <c r="L60" s="2238"/>
      <c r="M60" s="2237"/>
    </row>
    <row r="61" spans="1:14" s="692" customFormat="1">
      <c r="A61" s="2236" t="s">
        <v>898</v>
      </c>
      <c r="B61" s="2237"/>
      <c r="C61" s="2242">
        <f>'6) Zone Imp'!U163</f>
        <v>40</v>
      </c>
      <c r="D61" s="2242"/>
      <c r="E61" s="2239" t="s">
        <v>1765</v>
      </c>
      <c r="F61" s="2240"/>
      <c r="G61" s="2240"/>
      <c r="H61" s="2240"/>
      <c r="I61" s="2241"/>
      <c r="J61" s="2238" t="s">
        <v>1761</v>
      </c>
      <c r="K61" s="2238"/>
      <c r="L61" s="2238"/>
      <c r="M61" s="2237"/>
    </row>
    <row r="62" spans="1:14" s="692" customFormat="1">
      <c r="A62" s="2236" t="s">
        <v>899</v>
      </c>
      <c r="B62" s="2237"/>
      <c r="C62" s="2242">
        <f>'6) Zone Imp'!U164</f>
        <v>-40</v>
      </c>
      <c r="D62" s="2242"/>
      <c r="E62" s="2239" t="s">
        <v>1766</v>
      </c>
      <c r="F62" s="2240"/>
      <c r="G62" s="2240"/>
      <c r="H62" s="2240"/>
      <c r="I62" s="2241"/>
      <c r="J62" s="2238" t="s">
        <v>1761</v>
      </c>
      <c r="K62" s="2238"/>
      <c r="L62" s="2238"/>
      <c r="M62" s="2237"/>
    </row>
    <row r="63" spans="1:14" s="692" customFormat="1">
      <c r="A63" s="2236" t="s">
        <v>1767</v>
      </c>
      <c r="B63" s="2237"/>
      <c r="C63" s="2242">
        <f>180-C61</f>
        <v>140</v>
      </c>
      <c r="D63" s="2242"/>
      <c r="E63" s="2239" t="s">
        <v>1768</v>
      </c>
      <c r="F63" s="2240"/>
      <c r="G63" s="2240"/>
      <c r="H63" s="2240"/>
      <c r="I63" s="2241"/>
      <c r="J63" s="2238" t="s">
        <v>1764</v>
      </c>
      <c r="K63" s="2238"/>
      <c r="L63" s="2238"/>
      <c r="M63" s="2237"/>
    </row>
    <row r="64" spans="1:14" s="692" customFormat="1">
      <c r="A64" s="2236" t="s">
        <v>1769</v>
      </c>
      <c r="B64" s="2237"/>
      <c r="C64" s="2242">
        <f>180-C62</f>
        <v>220</v>
      </c>
      <c r="D64" s="2242"/>
      <c r="E64" s="2239" t="s">
        <v>1770</v>
      </c>
      <c r="F64" s="2240"/>
      <c r="G64" s="2240"/>
      <c r="H64" s="2240"/>
      <c r="I64" s="2241"/>
      <c r="J64" s="2238" t="s">
        <v>1764</v>
      </c>
      <c r="K64" s="2238"/>
      <c r="L64" s="2238"/>
      <c r="M64" s="2237"/>
    </row>
    <row r="65" spans="1:13">
      <c r="A65" s="2191" t="s">
        <v>1406</v>
      </c>
      <c r="B65" s="2187"/>
      <c r="C65" s="2186" t="e">
        <f ca="1">_27P</f>
        <v>#DIV/0!</v>
      </c>
      <c r="D65" s="2186"/>
      <c r="E65" s="2183" t="s">
        <v>1891</v>
      </c>
      <c r="F65" s="2184"/>
      <c r="G65" s="2184"/>
      <c r="H65" s="2184"/>
      <c r="I65" s="2185"/>
      <c r="J65" s="2186" t="s">
        <v>1892</v>
      </c>
      <c r="K65" s="2186"/>
      <c r="L65" s="2186"/>
      <c r="M65" s="2187"/>
    </row>
    <row r="66" spans="1:13">
      <c r="A66" s="2191" t="s">
        <v>2113</v>
      </c>
      <c r="B66" s="2187"/>
      <c r="C66" s="2208" t="e">
        <f ca="1">_59P</f>
        <v>#DIV/0!</v>
      </c>
      <c r="D66" s="2208"/>
      <c r="E66" s="2183" t="s">
        <v>1886</v>
      </c>
      <c r="F66" s="2184"/>
      <c r="G66" s="2184"/>
      <c r="H66" s="2184"/>
      <c r="I66" s="2185"/>
      <c r="J66" s="2186" t="s">
        <v>1887</v>
      </c>
      <c r="K66" s="2186"/>
      <c r="L66" s="2186"/>
      <c r="M66" s="2187"/>
    </row>
    <row r="67" spans="1:13">
      <c r="A67" s="2191" t="s">
        <v>1345</v>
      </c>
      <c r="B67" s="2187"/>
      <c r="C67" s="2186" t="e">
        <f ca="1">_59N1P</f>
        <v>#DIV/0!</v>
      </c>
      <c r="D67" s="2186"/>
      <c r="E67" s="2183" t="s">
        <v>2114</v>
      </c>
      <c r="F67" s="2184"/>
      <c r="G67" s="2184"/>
      <c r="H67" s="2184"/>
      <c r="I67" s="2185"/>
      <c r="J67" s="2186" t="s">
        <v>1876</v>
      </c>
      <c r="K67" s="2186"/>
      <c r="L67" s="2186"/>
      <c r="M67" s="2187"/>
    </row>
    <row r="68" spans="1:13">
      <c r="A68" s="2191" t="s">
        <v>2115</v>
      </c>
      <c r="B68" s="2187"/>
      <c r="C68" s="2186">
        <f>_59N2P</f>
        <v>10</v>
      </c>
      <c r="D68" s="2186"/>
      <c r="E68" s="2183" t="s">
        <v>1889</v>
      </c>
      <c r="F68" s="2184"/>
      <c r="G68" s="2184"/>
      <c r="H68" s="2184"/>
      <c r="I68" s="2185"/>
      <c r="J68" s="2186" t="s">
        <v>1890</v>
      </c>
      <c r="K68" s="2186"/>
      <c r="L68" s="2186"/>
      <c r="M68" s="2187"/>
    </row>
    <row r="69" spans="1:13" ht="19.5" customHeight="1">
      <c r="A69" s="2191" t="s">
        <v>2116</v>
      </c>
      <c r="B69" s="2187"/>
      <c r="C69" s="2214" t="e">
        <f>_59SP</f>
        <v>#VALUE!</v>
      </c>
      <c r="D69" s="2215"/>
      <c r="E69" s="2183" t="s">
        <v>174</v>
      </c>
      <c r="F69" s="2184"/>
      <c r="G69" s="2184"/>
      <c r="H69" s="2184"/>
      <c r="I69" s="2185"/>
      <c r="J69" s="2186" t="s">
        <v>174</v>
      </c>
      <c r="K69" s="2186"/>
      <c r="L69" s="2186"/>
      <c r="M69" s="2187"/>
    </row>
    <row r="70" spans="1:13">
      <c r="A70" s="2191" t="s">
        <v>1340</v>
      </c>
      <c r="B70" s="2187"/>
      <c r="C70" s="2186" t="e">
        <f ca="1">_27PP</f>
        <v>#DIV/0!</v>
      </c>
      <c r="D70" s="2186"/>
      <c r="E70" s="2183" t="s">
        <v>2117</v>
      </c>
      <c r="F70" s="2184"/>
      <c r="G70" s="2184"/>
      <c r="H70" s="2184"/>
      <c r="I70" s="2185"/>
      <c r="J70" s="2186" t="s">
        <v>1878</v>
      </c>
      <c r="K70" s="2186"/>
      <c r="L70" s="2186"/>
      <c r="M70" s="2187"/>
    </row>
    <row r="71" spans="1:13" s="692" customFormat="1">
      <c r="A71" s="2236" t="s">
        <v>2007</v>
      </c>
      <c r="B71" s="2237"/>
      <c r="C71" s="2238">
        <f>_BFPU1</f>
        <v>10</v>
      </c>
      <c r="D71" s="2238"/>
      <c r="E71" s="2239" t="s">
        <v>1811</v>
      </c>
      <c r="F71" s="2240"/>
      <c r="G71" s="2240"/>
      <c r="H71" s="2240"/>
      <c r="I71" s="2241"/>
      <c r="J71" s="2238" t="s">
        <v>1812</v>
      </c>
      <c r="K71" s="2238"/>
      <c r="L71" s="2238"/>
      <c r="M71" s="2237"/>
    </row>
    <row r="72" spans="1:13" s="692" customFormat="1">
      <c r="A72" s="2236" t="s">
        <v>2118</v>
      </c>
      <c r="B72" s="2237"/>
      <c r="C72" s="2238">
        <f>_SV7PU</f>
        <v>40</v>
      </c>
      <c r="D72" s="2238"/>
      <c r="E72" s="2239" t="s">
        <v>1897</v>
      </c>
      <c r="F72" s="2240"/>
      <c r="G72" s="2240"/>
      <c r="H72" s="2240"/>
      <c r="I72" s="2241"/>
      <c r="J72" s="2238" t="s">
        <v>1898</v>
      </c>
      <c r="K72" s="2238"/>
      <c r="L72" s="2238"/>
      <c r="M72" s="2237"/>
    </row>
    <row r="73" spans="1:13">
      <c r="A73" s="2191" t="s">
        <v>2119</v>
      </c>
      <c r="B73" s="2187"/>
      <c r="C73" s="2246">
        <v>0</v>
      </c>
      <c r="D73" s="2247"/>
      <c r="E73" s="2183" t="s">
        <v>1883</v>
      </c>
      <c r="F73" s="2184"/>
      <c r="G73" s="2184"/>
      <c r="H73" s="2184"/>
      <c r="I73" s="2185"/>
      <c r="J73" s="2191" t="s">
        <v>1884</v>
      </c>
      <c r="K73" s="2186"/>
      <c r="L73" s="2186"/>
      <c r="M73" s="2187"/>
    </row>
    <row r="74" spans="1:13">
      <c r="A74" s="2191" t="s">
        <v>2120</v>
      </c>
      <c r="B74" s="2187"/>
      <c r="C74" s="2246">
        <v>1</v>
      </c>
      <c r="D74" s="2247"/>
      <c r="E74" s="2183" t="s">
        <v>1883</v>
      </c>
      <c r="F74" s="2184"/>
      <c r="G74" s="2184"/>
      <c r="H74" s="2184"/>
      <c r="I74" s="2185"/>
      <c r="J74" s="2191" t="s">
        <v>1884</v>
      </c>
      <c r="K74" s="2186"/>
      <c r="L74" s="2186"/>
      <c r="M74" s="2187"/>
    </row>
    <row r="75" spans="1:13">
      <c r="A75" s="2191" t="s">
        <v>2121</v>
      </c>
      <c r="B75" s="2187"/>
      <c r="C75" s="2238">
        <f>_SET16</f>
        <v>0</v>
      </c>
      <c r="D75" s="2238"/>
      <c r="E75" s="2183" t="s">
        <v>1880</v>
      </c>
      <c r="F75" s="2184"/>
      <c r="G75" s="2184"/>
      <c r="H75" s="2184"/>
      <c r="I75" s="2185"/>
      <c r="J75" s="2186" t="s">
        <v>1881</v>
      </c>
      <c r="K75" s="2186"/>
      <c r="L75" s="2186"/>
      <c r="M75" s="2187"/>
    </row>
    <row r="76" spans="1:13">
      <c r="A76" s="2191" t="s">
        <v>2122</v>
      </c>
      <c r="B76" s="2187"/>
      <c r="C76" s="2238">
        <f>IF(C75=0,1,0)</f>
        <v>1</v>
      </c>
      <c r="D76" s="2238"/>
      <c r="E76" s="2183" t="s">
        <v>1880</v>
      </c>
      <c r="F76" s="2184"/>
      <c r="G76" s="2184"/>
      <c r="H76" s="2184"/>
      <c r="I76" s="2185"/>
      <c r="J76" s="2186" t="s">
        <v>1881</v>
      </c>
      <c r="K76" s="2186"/>
      <c r="L76" s="2186"/>
      <c r="M76" s="2187"/>
    </row>
    <row r="77" spans="1:13" s="692" customFormat="1">
      <c r="A77" s="2236" t="s">
        <v>1775</v>
      </c>
      <c r="B77" s="2237"/>
      <c r="C77" s="2238" t="str">
        <f>'10) SOTF'!Q42</f>
        <v>(27A+27B+27C)*SOTFE</v>
      </c>
      <c r="D77" s="2238"/>
      <c r="E77" s="2239" t="s">
        <v>1776</v>
      </c>
      <c r="F77" s="2240"/>
      <c r="G77" s="2240"/>
      <c r="H77" s="2240"/>
      <c r="I77" s="2241"/>
      <c r="J77" s="2238" t="s">
        <v>1777</v>
      </c>
      <c r="K77" s="2238"/>
      <c r="L77" s="2238"/>
      <c r="M77" s="2237"/>
    </row>
    <row r="78" spans="1:13">
      <c r="A78" s="2191"/>
      <c r="B78" s="2187"/>
      <c r="C78" s="2186"/>
      <c r="D78" s="2186"/>
      <c r="E78" s="2183"/>
      <c r="F78" s="2184"/>
      <c r="G78" s="2184"/>
      <c r="H78" s="2184"/>
      <c r="I78" s="2185"/>
      <c r="J78" s="2186"/>
      <c r="K78" s="2186"/>
      <c r="L78" s="2186"/>
      <c r="M78" s="2187"/>
    </row>
    <row r="79" spans="1:13">
      <c r="A79" s="2191"/>
      <c r="B79" s="2187"/>
      <c r="C79" s="2186"/>
      <c r="D79" s="2186"/>
      <c r="E79" s="2183"/>
      <c r="F79" s="2184"/>
      <c r="G79" s="2184"/>
      <c r="H79" s="2184"/>
      <c r="I79" s="2185"/>
      <c r="J79" s="2186"/>
      <c r="K79" s="2186"/>
      <c r="L79" s="2186"/>
      <c r="M79" s="2187"/>
    </row>
    <row r="80" spans="1:13">
      <c r="A80" s="2191"/>
      <c r="B80" s="2187"/>
      <c r="C80" s="2186"/>
      <c r="D80" s="2186"/>
      <c r="E80" s="2183"/>
      <c r="F80" s="2184"/>
      <c r="G80" s="2184"/>
      <c r="H80" s="2184"/>
      <c r="I80" s="2185"/>
      <c r="J80" s="2186"/>
      <c r="K80" s="2186"/>
      <c r="L80" s="2186"/>
      <c r="M80" s="2187"/>
    </row>
    <row r="81" spans="1:13">
      <c r="A81" s="2191"/>
      <c r="B81" s="2187"/>
      <c r="C81" s="2186"/>
      <c r="D81" s="2186"/>
      <c r="E81" s="2183"/>
      <c r="F81" s="2184"/>
      <c r="G81" s="2184"/>
      <c r="H81" s="2184"/>
      <c r="I81" s="2185"/>
      <c r="J81" s="2186"/>
      <c r="K81" s="2186"/>
      <c r="L81" s="2186"/>
      <c r="M81" s="2187"/>
    </row>
    <row r="82" spans="1:13">
      <c r="A82" s="2191"/>
      <c r="B82" s="2187"/>
      <c r="C82" s="2186"/>
      <c r="D82" s="2186"/>
      <c r="E82" s="2183"/>
      <c r="F82" s="2184"/>
      <c r="G82" s="2184"/>
      <c r="H82" s="2184"/>
      <c r="I82" s="2185"/>
      <c r="J82" s="2186"/>
      <c r="K82" s="2186"/>
      <c r="L82" s="2186"/>
      <c r="M82" s="2187"/>
    </row>
    <row r="83" spans="1:13">
      <c r="A83" s="2191"/>
      <c r="B83" s="2187"/>
      <c r="C83" s="2186"/>
      <c r="D83" s="2186"/>
      <c r="E83" s="2183"/>
      <c r="F83" s="2184"/>
      <c r="G83" s="2184"/>
      <c r="H83" s="2184"/>
      <c r="I83" s="2185"/>
      <c r="J83" s="2186"/>
      <c r="K83" s="2186"/>
      <c r="L83" s="2186"/>
      <c r="M83" s="2187"/>
    </row>
    <row r="84" spans="1:13">
      <c r="A84" s="2191"/>
      <c r="B84" s="2187"/>
      <c r="C84" s="2186"/>
      <c r="D84" s="2186"/>
      <c r="E84" s="2183"/>
      <c r="F84" s="2184"/>
      <c r="G84" s="2184"/>
      <c r="H84" s="2184"/>
      <c r="I84" s="2185"/>
      <c r="J84" s="2186"/>
      <c r="K84" s="2186"/>
      <c r="L84" s="2186"/>
      <c r="M84" s="2187"/>
    </row>
    <row r="85" spans="1:13">
      <c r="A85" s="2191"/>
      <c r="B85" s="2187"/>
      <c r="C85" s="2186"/>
      <c r="D85" s="2186"/>
      <c r="E85" s="2183"/>
      <c r="F85" s="2184"/>
      <c r="G85" s="2184"/>
      <c r="H85" s="2184"/>
      <c r="I85" s="2185"/>
      <c r="J85" s="2186"/>
      <c r="K85" s="2186"/>
      <c r="L85" s="2186"/>
      <c r="M85" s="2187"/>
    </row>
    <row r="86" spans="1:13">
      <c r="A86" s="2191"/>
      <c r="B86" s="2187"/>
      <c r="C86" s="2186"/>
      <c r="D86" s="2186"/>
      <c r="E86" s="2183"/>
      <c r="F86" s="2184"/>
      <c r="G86" s="2184"/>
      <c r="H86" s="2184"/>
      <c r="I86" s="2185"/>
      <c r="J86" s="2186"/>
      <c r="K86" s="2186"/>
      <c r="L86" s="2186"/>
      <c r="M86" s="2187"/>
    </row>
    <row r="87" spans="1:13">
      <c r="A87" s="2191"/>
      <c r="B87" s="2187"/>
      <c r="C87" s="2186"/>
      <c r="D87" s="2186"/>
      <c r="E87" s="2183"/>
      <c r="F87" s="2184"/>
      <c r="G87" s="2184"/>
      <c r="H87" s="2184"/>
      <c r="I87" s="2185"/>
      <c r="J87" s="2186"/>
      <c r="K87" s="2186"/>
      <c r="L87" s="2186"/>
      <c r="M87" s="2187"/>
    </row>
    <row r="88" spans="1:13">
      <c r="A88" s="2191"/>
      <c r="B88" s="2187"/>
      <c r="C88" s="2186"/>
      <c r="D88" s="2186"/>
      <c r="E88" s="2183"/>
      <c r="F88" s="2184"/>
      <c r="G88" s="2184"/>
      <c r="H88" s="2184"/>
      <c r="I88" s="2185"/>
      <c r="J88" s="2186"/>
      <c r="K88" s="2186"/>
      <c r="L88" s="2186"/>
      <c r="M88" s="2187"/>
    </row>
    <row r="89" spans="1:13">
      <c r="A89" s="2191"/>
      <c r="B89" s="2187"/>
      <c r="C89" s="2186"/>
      <c r="D89" s="2186"/>
      <c r="E89" s="2183"/>
      <c r="F89" s="2184"/>
      <c r="G89" s="2184"/>
      <c r="H89" s="2184"/>
      <c r="I89" s="2185"/>
      <c r="J89" s="2186"/>
      <c r="K89" s="2186"/>
      <c r="L89" s="2186"/>
      <c r="M89" s="2187"/>
    </row>
    <row r="90" spans="1:13">
      <c r="A90" s="2191"/>
      <c r="B90" s="2187"/>
      <c r="C90" s="2186"/>
      <c r="D90" s="2186"/>
      <c r="E90" s="2183"/>
      <c r="F90" s="2184"/>
      <c r="G90" s="2184"/>
      <c r="H90" s="2184"/>
      <c r="I90" s="2185"/>
      <c r="J90" s="2186"/>
      <c r="K90" s="2186"/>
      <c r="L90" s="2186"/>
      <c r="M90" s="2187"/>
    </row>
    <row r="91" spans="1:13">
      <c r="A91" s="2191"/>
      <c r="B91" s="2187"/>
      <c r="C91" s="2186"/>
      <c r="D91" s="2186"/>
      <c r="E91" s="2183"/>
      <c r="F91" s="2184"/>
      <c r="G91" s="2184"/>
      <c r="H91" s="2184"/>
      <c r="I91" s="2185"/>
      <c r="J91" s="2186"/>
      <c r="K91" s="2186"/>
      <c r="L91" s="2186"/>
      <c r="M91" s="2187"/>
    </row>
    <row r="92" spans="1:13">
      <c r="A92" s="2191"/>
      <c r="B92" s="2187"/>
      <c r="C92" s="2186"/>
      <c r="D92" s="2186"/>
      <c r="E92" s="2183"/>
      <c r="F92" s="2184"/>
      <c r="G92" s="2184"/>
      <c r="H92" s="2184"/>
      <c r="I92" s="2185"/>
      <c r="J92" s="2186"/>
      <c r="K92" s="2186"/>
      <c r="L92" s="2186"/>
      <c r="M92" s="2187"/>
    </row>
    <row r="93" spans="1:13">
      <c r="A93" s="2191"/>
      <c r="B93" s="2187"/>
      <c r="C93" s="2186"/>
      <c r="D93" s="2186"/>
      <c r="E93" s="2183"/>
      <c r="F93" s="2184"/>
      <c r="G93" s="2184"/>
      <c r="H93" s="2184"/>
      <c r="I93" s="2185"/>
      <c r="J93" s="2186"/>
      <c r="K93" s="2186"/>
      <c r="L93" s="2186"/>
      <c r="M93" s="2187"/>
    </row>
    <row r="94" spans="1:13">
      <c r="A94" s="2191"/>
      <c r="B94" s="2187"/>
      <c r="C94" s="2186"/>
      <c r="D94" s="2186"/>
      <c r="E94" s="2183"/>
      <c r="F94" s="2184"/>
      <c r="G94" s="2184"/>
      <c r="H94" s="2184"/>
      <c r="I94" s="2185"/>
      <c r="J94" s="2186"/>
      <c r="K94" s="2186"/>
      <c r="L94" s="2186"/>
      <c r="M94" s="2187"/>
    </row>
    <row r="95" spans="1:13">
      <c r="A95" s="2191"/>
      <c r="B95" s="2187"/>
      <c r="C95" s="2186"/>
      <c r="D95" s="2186"/>
      <c r="E95" s="2183"/>
      <c r="F95" s="2184"/>
      <c r="G95" s="2184"/>
      <c r="H95" s="2184"/>
      <c r="I95" s="2185"/>
      <c r="J95" s="2186"/>
      <c r="K95" s="2186"/>
      <c r="L95" s="2186"/>
      <c r="M95" s="2187"/>
    </row>
    <row r="96" spans="1:13">
      <c r="A96" s="2191"/>
      <c r="B96" s="2187"/>
      <c r="C96" s="2186"/>
      <c r="D96" s="2186"/>
      <c r="E96" s="2183"/>
      <c r="F96" s="2184"/>
      <c r="G96" s="2184"/>
      <c r="H96" s="2184"/>
      <c r="I96" s="2185"/>
      <c r="J96" s="2186"/>
      <c r="K96" s="2186"/>
      <c r="L96" s="2186"/>
      <c r="M96" s="2187"/>
    </row>
    <row r="97" spans="1:13">
      <c r="A97" s="2191"/>
      <c r="B97" s="2187"/>
      <c r="C97" s="2186"/>
      <c r="D97" s="2186"/>
      <c r="E97" s="2183"/>
      <c r="F97" s="2184"/>
      <c r="G97" s="2184"/>
      <c r="H97" s="2184"/>
      <c r="I97" s="2185"/>
      <c r="J97" s="2186"/>
      <c r="K97" s="2186"/>
      <c r="L97" s="2186"/>
      <c r="M97" s="2187"/>
    </row>
    <row r="98" spans="1:13">
      <c r="A98" s="2191"/>
      <c r="B98" s="2187"/>
      <c r="C98" s="2186"/>
      <c r="D98" s="2186"/>
      <c r="E98" s="2183"/>
      <c r="F98" s="2184"/>
      <c r="G98" s="2184"/>
      <c r="H98" s="2184"/>
      <c r="I98" s="2185"/>
      <c r="J98" s="2186"/>
      <c r="K98" s="2186"/>
      <c r="L98" s="2186"/>
      <c r="M98" s="2187"/>
    </row>
    <row r="99" spans="1:13">
      <c r="A99" s="2191"/>
      <c r="B99" s="2187"/>
      <c r="C99" s="2186"/>
      <c r="D99" s="2186"/>
      <c r="E99" s="2183"/>
      <c r="F99" s="2184"/>
      <c r="G99" s="2184"/>
      <c r="H99" s="2184"/>
      <c r="I99" s="2185"/>
      <c r="J99" s="2186"/>
      <c r="K99" s="2186"/>
      <c r="L99" s="2186"/>
      <c r="M99" s="2187"/>
    </row>
    <row r="100" spans="1:13">
      <c r="A100" s="2191"/>
      <c r="B100" s="2187"/>
      <c r="C100" s="2186"/>
      <c r="D100" s="2186"/>
      <c r="E100" s="2183"/>
      <c r="F100" s="2184"/>
      <c r="G100" s="2184"/>
      <c r="H100" s="2184"/>
      <c r="I100" s="2185"/>
      <c r="J100" s="2186"/>
      <c r="K100" s="2186"/>
      <c r="L100" s="2186"/>
      <c r="M100" s="2187"/>
    </row>
    <row r="101" spans="1:13">
      <c r="A101" s="2191"/>
      <c r="B101" s="2187"/>
      <c r="C101" s="2186"/>
      <c r="D101" s="2186"/>
      <c r="E101" s="2183"/>
      <c r="F101" s="2184"/>
      <c r="G101" s="2184"/>
      <c r="H101" s="2184"/>
      <c r="I101" s="2185"/>
      <c r="J101" s="2186"/>
      <c r="K101" s="2186"/>
      <c r="L101" s="2186"/>
      <c r="M101" s="2187"/>
    </row>
    <row r="102" spans="1:13">
      <c r="A102" s="2191"/>
      <c r="B102" s="2187"/>
      <c r="C102" s="2186"/>
      <c r="D102" s="2186"/>
      <c r="E102" s="2183"/>
      <c r="F102" s="2184"/>
      <c r="G102" s="2184"/>
      <c r="H102" s="2184"/>
      <c r="I102" s="2185"/>
      <c r="J102" s="2186"/>
      <c r="K102" s="2186"/>
      <c r="L102" s="2186"/>
      <c r="M102" s="2187"/>
    </row>
    <row r="103" spans="1:13">
      <c r="A103" s="2191"/>
      <c r="B103" s="2187"/>
      <c r="C103" s="2186"/>
      <c r="D103" s="2186"/>
      <c r="E103" s="2183"/>
      <c r="F103" s="2184"/>
      <c r="G103" s="2184"/>
      <c r="H103" s="2184"/>
      <c r="I103" s="2185"/>
      <c r="J103" s="2186"/>
      <c r="K103" s="2186"/>
      <c r="L103" s="2186"/>
      <c r="M103" s="2187"/>
    </row>
    <row r="104" spans="1:13">
      <c r="A104" s="2191"/>
      <c r="B104" s="2187"/>
      <c r="C104" s="2186"/>
      <c r="D104" s="2186"/>
      <c r="E104" s="2183"/>
      <c r="F104" s="2184"/>
      <c r="G104" s="2184"/>
      <c r="H104" s="2184"/>
      <c r="I104" s="2185"/>
      <c r="J104" s="2186"/>
      <c r="K104" s="2186"/>
      <c r="L104" s="2186"/>
      <c r="M104" s="2187"/>
    </row>
    <row r="105" spans="1:13">
      <c r="A105" s="2191"/>
      <c r="B105" s="2187"/>
      <c r="C105" s="2186"/>
      <c r="D105" s="2186"/>
      <c r="E105" s="2183"/>
      <c r="F105" s="2184"/>
      <c r="G105" s="2184"/>
      <c r="H105" s="2184"/>
      <c r="I105" s="2185"/>
      <c r="J105" s="2186"/>
      <c r="K105" s="2186"/>
      <c r="L105" s="2186"/>
      <c r="M105" s="2187"/>
    </row>
    <row r="106" spans="1:13">
      <c r="A106" s="2191"/>
      <c r="B106" s="2187"/>
      <c r="C106" s="2186"/>
      <c r="D106" s="2186"/>
      <c r="E106" s="2183"/>
      <c r="F106" s="2184"/>
      <c r="G106" s="2184"/>
      <c r="H106" s="2184"/>
      <c r="I106" s="2185"/>
      <c r="J106" s="2186"/>
      <c r="K106" s="2186"/>
      <c r="L106" s="2186"/>
      <c r="M106" s="2187"/>
    </row>
    <row r="107" spans="1:13">
      <c r="A107" s="2191"/>
      <c r="B107" s="2187"/>
      <c r="C107" s="2186"/>
      <c r="D107" s="2186"/>
      <c r="E107" s="2183"/>
      <c r="F107" s="2184"/>
      <c r="G107" s="2184"/>
      <c r="H107" s="2184"/>
      <c r="I107" s="2185"/>
      <c r="J107" s="2186"/>
      <c r="K107" s="2186"/>
      <c r="L107" s="2186"/>
      <c r="M107" s="2187"/>
    </row>
    <row r="108" spans="1:13">
      <c r="A108" s="2191"/>
      <c r="B108" s="2187"/>
      <c r="C108" s="2186"/>
      <c r="D108" s="2186"/>
      <c r="E108" s="2183"/>
      <c r="F108" s="2184"/>
      <c r="G108" s="2184"/>
      <c r="H108" s="2184"/>
      <c r="I108" s="2185"/>
      <c r="J108" s="2186"/>
      <c r="K108" s="2186"/>
      <c r="L108" s="2186"/>
      <c r="M108" s="2187"/>
    </row>
    <row r="109" spans="1:13">
      <c r="A109" s="2191"/>
      <c r="B109" s="2187"/>
      <c r="C109" s="2186"/>
      <c r="D109" s="2186"/>
      <c r="E109" s="2183"/>
      <c r="F109" s="2184"/>
      <c r="G109" s="2184"/>
      <c r="H109" s="2184"/>
      <c r="I109" s="2185"/>
      <c r="J109" s="2186"/>
      <c r="K109" s="2186"/>
      <c r="L109" s="2186"/>
      <c r="M109" s="2187"/>
    </row>
    <row r="110" spans="1:13">
      <c r="A110" s="2191"/>
      <c r="B110" s="2187"/>
      <c r="C110" s="2186"/>
      <c r="D110" s="2186"/>
      <c r="E110" s="2183"/>
      <c r="F110" s="2184"/>
      <c r="G110" s="2184"/>
      <c r="H110" s="2184"/>
      <c r="I110" s="2185"/>
      <c r="J110" s="2186"/>
      <c r="K110" s="2186"/>
      <c r="L110" s="2186"/>
      <c r="M110" s="2187"/>
    </row>
    <row r="111" spans="1:13">
      <c r="A111" s="2191"/>
      <c r="B111" s="2187"/>
      <c r="C111" s="2186"/>
      <c r="D111" s="2186"/>
      <c r="E111" s="2183"/>
      <c r="F111" s="2184"/>
      <c r="G111" s="2184"/>
      <c r="H111" s="2184"/>
      <c r="I111" s="2185"/>
      <c r="J111" s="2186"/>
      <c r="K111" s="2186"/>
      <c r="L111" s="2186"/>
      <c r="M111" s="2187"/>
    </row>
    <row r="112" spans="1:13">
      <c r="A112" s="2191"/>
      <c r="B112" s="2187"/>
      <c r="C112" s="2186"/>
      <c r="D112" s="2186"/>
      <c r="E112" s="2183"/>
      <c r="F112" s="2184"/>
      <c r="G112" s="2184"/>
      <c r="H112" s="2184"/>
      <c r="I112" s="2185"/>
      <c r="J112" s="2186"/>
      <c r="K112" s="2186"/>
      <c r="L112" s="2186"/>
      <c r="M112" s="2187"/>
    </row>
    <row r="113" spans="1:13">
      <c r="A113" s="2191"/>
      <c r="B113" s="2187"/>
      <c r="C113" s="2186"/>
      <c r="D113" s="2186"/>
      <c r="E113" s="2183"/>
      <c r="F113" s="2184"/>
      <c r="G113" s="2184"/>
      <c r="H113" s="2184"/>
      <c r="I113" s="2185"/>
      <c r="J113" s="2186"/>
      <c r="K113" s="2186"/>
      <c r="L113" s="2186"/>
      <c r="M113" s="2187"/>
    </row>
    <row r="114" spans="1:13">
      <c r="A114" s="2191"/>
      <c r="B114" s="2187"/>
      <c r="C114" s="2186"/>
      <c r="D114" s="2186"/>
      <c r="E114" s="2183"/>
      <c r="F114" s="2184"/>
      <c r="G114" s="2184"/>
      <c r="H114" s="2184"/>
      <c r="I114" s="2185"/>
      <c r="J114" s="2186"/>
      <c r="K114" s="2186"/>
      <c r="L114" s="2186"/>
      <c r="M114" s="2187"/>
    </row>
    <row r="115" spans="1:13">
      <c r="A115" s="2191"/>
      <c r="B115" s="2187"/>
      <c r="C115" s="2186"/>
      <c r="D115" s="2186"/>
      <c r="E115" s="2183"/>
      <c r="F115" s="2184"/>
      <c r="G115" s="2184"/>
      <c r="H115" s="2184"/>
      <c r="I115" s="2185"/>
      <c r="J115" s="2186"/>
      <c r="K115" s="2186"/>
      <c r="L115" s="2186"/>
      <c r="M115" s="2187"/>
    </row>
    <row r="116" spans="1:13">
      <c r="A116" s="2191"/>
      <c r="B116" s="2187"/>
      <c r="C116" s="2186"/>
      <c r="D116" s="2186"/>
      <c r="E116" s="2183"/>
      <c r="F116" s="2184"/>
      <c r="G116" s="2184"/>
      <c r="H116" s="2184"/>
      <c r="I116" s="2185"/>
      <c r="J116" s="2186"/>
      <c r="K116" s="2186"/>
      <c r="L116" s="2186"/>
      <c r="M116" s="2187"/>
    </row>
    <row r="117" spans="1:13">
      <c r="A117" s="2191"/>
      <c r="B117" s="2187"/>
      <c r="C117" s="2186"/>
      <c r="D117" s="2186"/>
      <c r="E117" s="2183"/>
      <c r="F117" s="2184"/>
      <c r="G117" s="2184"/>
      <c r="H117" s="2184"/>
      <c r="I117" s="2185"/>
      <c r="J117" s="2186"/>
      <c r="K117" s="2186"/>
      <c r="L117" s="2186"/>
      <c r="M117" s="2187"/>
    </row>
    <row r="118" spans="1:13">
      <c r="A118" s="2191"/>
      <c r="B118" s="2187"/>
      <c r="C118" s="2186"/>
      <c r="D118" s="2186"/>
      <c r="E118" s="2183"/>
      <c r="F118" s="2184"/>
      <c r="G118" s="2184"/>
      <c r="H118" s="2184"/>
      <c r="I118" s="2185"/>
      <c r="J118" s="2186"/>
      <c r="K118" s="2186"/>
      <c r="L118" s="2186"/>
      <c r="M118" s="2187"/>
    </row>
    <row r="119" spans="1:13">
      <c r="A119" s="2191"/>
      <c r="B119" s="2187"/>
      <c r="C119" s="2186"/>
      <c r="D119" s="2186"/>
      <c r="E119" s="2183"/>
      <c r="F119" s="2184"/>
      <c r="G119" s="2184"/>
      <c r="H119" s="2184"/>
      <c r="I119" s="2185"/>
      <c r="J119" s="2186"/>
      <c r="K119" s="2186"/>
      <c r="L119" s="2186"/>
      <c r="M119" s="2187"/>
    </row>
    <row r="120" spans="1:13">
      <c r="A120" s="2191"/>
      <c r="B120" s="2187"/>
      <c r="C120" s="2186"/>
      <c r="D120" s="2186"/>
      <c r="E120" s="2183"/>
      <c r="F120" s="2184"/>
      <c r="G120" s="2184"/>
      <c r="H120" s="2184"/>
      <c r="I120" s="2185"/>
      <c r="J120" s="2186"/>
      <c r="K120" s="2186"/>
      <c r="L120" s="2186"/>
      <c r="M120" s="2187"/>
    </row>
    <row r="121" spans="1:13">
      <c r="A121" s="2191"/>
      <c r="B121" s="2187"/>
      <c r="C121" s="2186"/>
      <c r="D121" s="2186"/>
      <c r="E121" s="2183"/>
      <c r="F121" s="2184"/>
      <c r="G121" s="2184"/>
      <c r="H121" s="2184"/>
      <c r="I121" s="2185"/>
      <c r="J121" s="2186"/>
      <c r="K121" s="2186"/>
      <c r="L121" s="2186"/>
      <c r="M121" s="2187"/>
    </row>
    <row r="122" spans="1:13">
      <c r="A122" s="2191"/>
      <c r="B122" s="2187"/>
      <c r="C122" s="2186"/>
      <c r="D122" s="2186"/>
      <c r="E122" s="2183"/>
      <c r="F122" s="2184"/>
      <c r="G122" s="2184"/>
      <c r="H122" s="2184"/>
      <c r="I122" s="2185"/>
      <c r="J122" s="2186"/>
      <c r="K122" s="2186"/>
      <c r="L122" s="2186"/>
      <c r="M122" s="2187"/>
    </row>
    <row r="123" spans="1:13">
      <c r="A123" s="2191"/>
      <c r="B123" s="2187"/>
      <c r="C123" s="2186"/>
      <c r="D123" s="2186"/>
      <c r="E123" s="2183"/>
      <c r="F123" s="2184"/>
      <c r="G123" s="2184"/>
      <c r="H123" s="2184"/>
      <c r="I123" s="2185"/>
      <c r="J123" s="2186"/>
      <c r="K123" s="2186"/>
      <c r="L123" s="2186"/>
      <c r="M123" s="2187"/>
    </row>
    <row r="124" spans="1:13">
      <c r="A124" s="2191"/>
      <c r="B124" s="2187"/>
      <c r="C124" s="2186"/>
      <c r="D124" s="2186"/>
      <c r="E124" s="2183"/>
      <c r="F124" s="2184"/>
      <c r="G124" s="2184"/>
      <c r="H124" s="2184"/>
      <c r="I124" s="2185"/>
      <c r="J124" s="2186"/>
      <c r="K124" s="2186"/>
      <c r="L124" s="2186"/>
      <c r="M124" s="2187"/>
    </row>
    <row r="125" spans="1:13">
      <c r="A125" s="2191"/>
      <c r="B125" s="2187"/>
      <c r="C125" s="2186"/>
      <c r="D125" s="2186"/>
      <c r="E125" s="2183"/>
      <c r="F125" s="2184"/>
      <c r="G125" s="2184"/>
      <c r="H125" s="2184"/>
      <c r="I125" s="2185"/>
      <c r="J125" s="2186"/>
      <c r="K125" s="2186"/>
      <c r="L125" s="2186"/>
      <c r="M125" s="2187"/>
    </row>
    <row r="126" spans="1:13">
      <c r="A126" s="2191"/>
      <c r="B126" s="2187"/>
      <c r="C126" s="2186"/>
      <c r="D126" s="2186"/>
      <c r="E126" s="2183"/>
      <c r="F126" s="2184"/>
      <c r="G126" s="2184"/>
      <c r="H126" s="2184"/>
      <c r="I126" s="2185"/>
      <c r="J126" s="2186"/>
      <c r="K126" s="2186"/>
      <c r="L126" s="2186"/>
      <c r="M126" s="2187"/>
    </row>
    <row r="127" spans="1:13">
      <c r="A127" s="2191"/>
      <c r="B127" s="2187"/>
      <c r="C127" s="2186"/>
      <c r="D127" s="2186"/>
      <c r="E127" s="2183"/>
      <c r="F127" s="2184"/>
      <c r="G127" s="2184"/>
      <c r="H127" s="2184"/>
      <c r="I127" s="2185"/>
      <c r="J127" s="2186"/>
      <c r="K127" s="2186"/>
      <c r="L127" s="2186"/>
      <c r="M127" s="2187"/>
    </row>
    <row r="128" spans="1:13">
      <c r="A128" s="2191"/>
      <c r="B128" s="2187"/>
      <c r="C128" s="2186"/>
      <c r="D128" s="2186"/>
      <c r="E128" s="2183"/>
      <c r="F128" s="2184"/>
      <c r="G128" s="2184"/>
      <c r="H128" s="2184"/>
      <c r="I128" s="2185"/>
      <c r="J128" s="2186"/>
      <c r="K128" s="2186"/>
      <c r="L128" s="2186"/>
      <c r="M128" s="2187"/>
    </row>
    <row r="129" spans="1:13">
      <c r="A129" s="2191"/>
      <c r="B129" s="2187"/>
      <c r="C129" s="2186"/>
      <c r="D129" s="2186"/>
      <c r="E129" s="2183"/>
      <c r="F129" s="2184"/>
      <c r="G129" s="2184"/>
      <c r="H129" s="2184"/>
      <c r="I129" s="2185"/>
      <c r="J129" s="2186"/>
      <c r="K129" s="2186"/>
      <c r="L129" s="2186"/>
      <c r="M129" s="2187"/>
    </row>
    <row r="130" spans="1:13">
      <c r="A130" s="2191"/>
      <c r="B130" s="2187"/>
      <c r="C130" s="2186"/>
      <c r="D130" s="2186"/>
      <c r="E130" s="2183"/>
      <c r="F130" s="2184"/>
      <c r="G130" s="2184"/>
      <c r="H130" s="2184"/>
      <c r="I130" s="2185"/>
      <c r="J130" s="2186"/>
      <c r="K130" s="2186"/>
      <c r="L130" s="2186"/>
      <c r="M130" s="2187"/>
    </row>
    <row r="131" spans="1:13">
      <c r="A131" s="2191"/>
      <c r="B131" s="2187"/>
      <c r="C131" s="2186"/>
      <c r="D131" s="2186"/>
      <c r="E131" s="2183"/>
      <c r="F131" s="2184"/>
      <c r="G131" s="2184"/>
      <c r="H131" s="2184"/>
      <c r="I131" s="2185"/>
      <c r="J131" s="2186"/>
      <c r="K131" s="2186"/>
      <c r="L131" s="2186"/>
      <c r="M131" s="2187"/>
    </row>
    <row r="132" spans="1:13">
      <c r="A132" s="2191"/>
      <c r="B132" s="2187"/>
      <c r="C132" s="2186"/>
      <c r="D132" s="2186"/>
      <c r="E132" s="2183"/>
      <c r="F132" s="2184"/>
      <c r="G132" s="2184"/>
      <c r="H132" s="2184"/>
      <c r="I132" s="2185"/>
      <c r="J132" s="2186"/>
      <c r="K132" s="2186"/>
      <c r="L132" s="2186"/>
      <c r="M132" s="2187"/>
    </row>
    <row r="133" spans="1:13">
      <c r="A133" s="2191"/>
      <c r="B133" s="2187"/>
      <c r="C133" s="2186"/>
      <c r="D133" s="2186"/>
      <c r="E133" s="2183"/>
      <c r="F133" s="2184"/>
      <c r="G133" s="2184"/>
      <c r="H133" s="2184"/>
      <c r="I133" s="2185"/>
      <c r="J133" s="2186"/>
      <c r="K133" s="2186"/>
      <c r="L133" s="2186"/>
      <c r="M133" s="2187"/>
    </row>
    <row r="134" spans="1:13">
      <c r="A134" s="2191"/>
      <c r="B134" s="2187"/>
      <c r="C134" s="2186"/>
      <c r="D134" s="2186"/>
      <c r="E134" s="2183"/>
      <c r="F134" s="2184"/>
      <c r="G134" s="2184"/>
      <c r="H134" s="2184"/>
      <c r="I134" s="2185"/>
      <c r="J134" s="2186"/>
      <c r="K134" s="2186"/>
      <c r="L134" s="2186"/>
      <c r="M134" s="2187"/>
    </row>
    <row r="135" spans="1:13">
      <c r="A135" s="2191"/>
      <c r="B135" s="2187"/>
      <c r="C135" s="2186"/>
      <c r="D135" s="2186"/>
      <c r="E135" s="2183"/>
      <c r="F135" s="2184"/>
      <c r="G135" s="2184"/>
      <c r="H135" s="2184"/>
      <c r="I135" s="2185"/>
      <c r="J135" s="2186"/>
      <c r="K135" s="2186"/>
      <c r="L135" s="2186"/>
      <c r="M135" s="2187"/>
    </row>
    <row r="136" spans="1:13">
      <c r="A136" s="2191"/>
      <c r="B136" s="2187"/>
      <c r="C136" s="2186"/>
      <c r="D136" s="2186"/>
      <c r="E136" s="2183"/>
      <c r="F136" s="2184"/>
      <c r="G136" s="2184"/>
      <c r="H136" s="2184"/>
      <c r="I136" s="2185"/>
      <c r="J136" s="2186"/>
      <c r="K136" s="2186"/>
      <c r="L136" s="2186"/>
      <c r="M136" s="2187"/>
    </row>
    <row r="137" spans="1:13">
      <c r="A137" s="2191"/>
      <c r="B137" s="2187"/>
      <c r="C137" s="2186"/>
      <c r="D137" s="2186"/>
      <c r="E137" s="2183"/>
      <c r="F137" s="2184"/>
      <c r="G137" s="2184"/>
      <c r="H137" s="2184"/>
      <c r="I137" s="2185"/>
      <c r="J137" s="2186"/>
      <c r="K137" s="2186"/>
      <c r="L137" s="2186"/>
      <c r="M137" s="2187"/>
    </row>
    <row r="138" spans="1:13">
      <c r="A138" s="2191"/>
      <c r="B138" s="2187"/>
      <c r="C138" s="2186"/>
      <c r="D138" s="2186"/>
      <c r="E138" s="2183"/>
      <c r="F138" s="2184"/>
      <c r="G138" s="2184"/>
      <c r="H138" s="2184"/>
      <c r="I138" s="2185"/>
      <c r="J138" s="2186"/>
      <c r="K138" s="2186"/>
      <c r="L138" s="2186"/>
      <c r="M138" s="2187"/>
    </row>
    <row r="139" spans="1:13">
      <c r="A139" s="2191"/>
      <c r="B139" s="2187"/>
      <c r="C139" s="2186"/>
      <c r="D139" s="2186"/>
      <c r="E139" s="2183"/>
      <c r="F139" s="2184"/>
      <c r="G139" s="2184"/>
      <c r="H139" s="2184"/>
      <c r="I139" s="2185"/>
      <c r="J139" s="2186"/>
      <c r="K139" s="2186"/>
      <c r="L139" s="2186"/>
      <c r="M139" s="2187"/>
    </row>
    <row r="140" spans="1:13">
      <c r="A140" s="2191"/>
      <c r="B140" s="2187"/>
      <c r="C140" s="2186"/>
      <c r="D140" s="2186"/>
      <c r="E140" s="2183"/>
      <c r="F140" s="2184"/>
      <c r="G140" s="2184"/>
      <c r="H140" s="2184"/>
      <c r="I140" s="2185"/>
      <c r="J140" s="2186"/>
      <c r="K140" s="2186"/>
      <c r="L140" s="2186"/>
      <c r="M140" s="2187"/>
    </row>
    <row r="141" spans="1:13">
      <c r="A141" s="2191"/>
      <c r="B141" s="2187"/>
      <c r="C141" s="2186"/>
      <c r="D141" s="2186"/>
      <c r="E141" s="2183"/>
      <c r="F141" s="2184"/>
      <c r="G141" s="2184"/>
      <c r="H141" s="2184"/>
      <c r="I141" s="2185"/>
      <c r="J141" s="2186"/>
      <c r="K141" s="2186"/>
      <c r="L141" s="2186"/>
      <c r="M141" s="2187"/>
    </row>
    <row r="142" spans="1:13">
      <c r="A142" s="2191"/>
      <c r="B142" s="2187"/>
      <c r="C142" s="2186"/>
      <c r="D142" s="2186"/>
      <c r="E142" s="2183"/>
      <c r="F142" s="2184"/>
      <c r="G142" s="2184"/>
      <c r="H142" s="2184"/>
      <c r="I142" s="2185"/>
      <c r="J142" s="2186"/>
      <c r="K142" s="2186"/>
      <c r="L142" s="2186"/>
      <c r="M142" s="2187"/>
    </row>
    <row r="143" spans="1:13">
      <c r="A143" s="2191"/>
      <c r="B143" s="2187"/>
      <c r="C143" s="2186"/>
      <c r="D143" s="2186"/>
      <c r="E143" s="2183"/>
      <c r="F143" s="2184"/>
      <c r="G143" s="2184"/>
      <c r="H143" s="2184"/>
      <c r="I143" s="2185"/>
      <c r="J143" s="2186"/>
      <c r="K143" s="2186"/>
      <c r="L143" s="2186"/>
      <c r="M143" s="2187"/>
    </row>
    <row r="144" spans="1:13">
      <c r="A144" s="2191"/>
      <c r="B144" s="2187"/>
      <c r="C144" s="2186"/>
      <c r="D144" s="2186"/>
      <c r="E144" s="2183"/>
      <c r="F144" s="2184"/>
      <c r="G144" s="2184"/>
      <c r="H144" s="2184"/>
      <c r="I144" s="2185"/>
      <c r="J144" s="2186"/>
      <c r="K144" s="2186"/>
      <c r="L144" s="2186"/>
      <c r="M144" s="2187"/>
    </row>
    <row r="145" spans="1:13">
      <c r="A145" s="2191"/>
      <c r="B145" s="2187"/>
      <c r="C145" s="2186"/>
      <c r="D145" s="2186"/>
      <c r="E145" s="2183"/>
      <c r="F145" s="2184"/>
      <c r="G145" s="2184"/>
      <c r="H145" s="2184"/>
      <c r="I145" s="2185"/>
      <c r="J145" s="2186"/>
      <c r="K145" s="2186"/>
      <c r="L145" s="2186"/>
      <c r="M145" s="2187"/>
    </row>
    <row r="146" spans="1:13">
      <c r="A146" s="2191"/>
      <c r="B146" s="2187"/>
      <c r="C146" s="2186"/>
      <c r="D146" s="2186"/>
      <c r="E146" s="2183"/>
      <c r="F146" s="2184"/>
      <c r="G146" s="2184"/>
      <c r="H146" s="2184"/>
      <c r="I146" s="2185"/>
      <c r="J146" s="2186"/>
      <c r="K146" s="2186"/>
      <c r="L146" s="2186"/>
      <c r="M146" s="2187"/>
    </row>
    <row r="147" spans="1:13">
      <c r="A147" s="2191"/>
      <c r="B147" s="2187"/>
      <c r="C147" s="2186"/>
      <c r="D147" s="2186"/>
      <c r="E147" s="2183"/>
      <c r="F147" s="2184"/>
      <c r="G147" s="2184"/>
      <c r="H147" s="2184"/>
      <c r="I147" s="2185"/>
      <c r="J147" s="2186"/>
      <c r="K147" s="2186"/>
      <c r="L147" s="2186"/>
      <c r="M147" s="2187"/>
    </row>
    <row r="148" spans="1:13">
      <c r="A148" s="2191"/>
      <c r="B148" s="2187"/>
      <c r="C148" s="2186"/>
      <c r="D148" s="2186"/>
      <c r="E148" s="2183"/>
      <c r="F148" s="2184"/>
      <c r="G148" s="2184"/>
      <c r="H148" s="2184"/>
      <c r="I148" s="2185"/>
      <c r="J148" s="2186"/>
      <c r="K148" s="2186"/>
      <c r="L148" s="2186"/>
      <c r="M148" s="2187"/>
    </row>
    <row r="149" spans="1:13">
      <c r="A149" s="2191"/>
      <c r="B149" s="2187"/>
      <c r="C149" s="2186"/>
      <c r="D149" s="2186"/>
      <c r="E149" s="2183"/>
      <c r="F149" s="2184"/>
      <c r="G149" s="2184"/>
      <c r="H149" s="2184"/>
      <c r="I149" s="2185"/>
      <c r="J149" s="2186"/>
      <c r="K149" s="2186"/>
      <c r="L149" s="2186"/>
      <c r="M149" s="2187"/>
    </row>
    <row r="150" spans="1:13">
      <c r="A150" s="2191"/>
      <c r="B150" s="2187"/>
      <c r="C150" s="2186"/>
      <c r="D150" s="2186"/>
      <c r="E150" s="2183"/>
      <c r="F150" s="2184"/>
      <c r="G150" s="2184"/>
      <c r="H150" s="2184"/>
      <c r="I150" s="2185"/>
      <c r="J150" s="2186"/>
      <c r="K150" s="2186"/>
      <c r="L150" s="2186"/>
      <c r="M150" s="2187"/>
    </row>
    <row r="151" spans="1:13">
      <c r="A151" s="2191"/>
      <c r="B151" s="2187"/>
      <c r="C151" s="2186"/>
      <c r="D151" s="2186"/>
      <c r="E151" s="2183"/>
      <c r="F151" s="2184"/>
      <c r="G151" s="2184"/>
      <c r="H151" s="2184"/>
      <c r="I151" s="2185"/>
      <c r="J151" s="2186"/>
      <c r="K151" s="2186"/>
      <c r="L151" s="2186"/>
      <c r="M151" s="2187"/>
    </row>
    <row r="152" spans="1:13">
      <c r="A152" s="2191"/>
      <c r="B152" s="2187"/>
      <c r="C152" s="2186"/>
      <c r="D152" s="2186"/>
      <c r="E152" s="2183"/>
      <c r="F152" s="2184"/>
      <c r="G152" s="2184"/>
      <c r="H152" s="2184"/>
      <c r="I152" s="2185"/>
      <c r="J152" s="2186"/>
      <c r="K152" s="2186"/>
      <c r="L152" s="2186"/>
      <c r="M152" s="2187"/>
    </row>
    <row r="153" spans="1:13">
      <c r="A153" s="2191"/>
      <c r="B153" s="2187"/>
      <c r="C153" s="2186"/>
      <c r="D153" s="2186"/>
      <c r="E153" s="2183"/>
      <c r="F153" s="2184"/>
      <c r="G153" s="2184"/>
      <c r="H153" s="2184"/>
      <c r="I153" s="2185"/>
      <c r="J153" s="2186"/>
      <c r="K153" s="2186"/>
      <c r="L153" s="2186"/>
      <c r="M153" s="2187"/>
    </row>
    <row r="154" spans="1:13">
      <c r="A154" s="2191"/>
      <c r="B154" s="2187"/>
      <c r="C154" s="2186"/>
      <c r="D154" s="2186"/>
      <c r="E154" s="2183"/>
      <c r="F154" s="2184"/>
      <c r="G154" s="2184"/>
      <c r="H154" s="2184"/>
      <c r="I154" s="2185"/>
      <c r="J154" s="2186"/>
      <c r="K154" s="2186"/>
      <c r="L154" s="2186"/>
      <c r="M154" s="2187"/>
    </row>
    <row r="155" spans="1:13">
      <c r="A155" s="2191"/>
      <c r="B155" s="2187"/>
      <c r="C155" s="2186"/>
      <c r="D155" s="2186"/>
      <c r="E155" s="2183"/>
      <c r="F155" s="2184"/>
      <c r="G155" s="2184"/>
      <c r="H155" s="2184"/>
      <c r="I155" s="2185"/>
      <c r="J155" s="2186"/>
      <c r="K155" s="2186"/>
      <c r="L155" s="2186"/>
      <c r="M155" s="2187"/>
    </row>
    <row r="156" spans="1:13">
      <c r="A156" s="2191"/>
      <c r="B156" s="2187"/>
      <c r="C156" s="2186"/>
      <c r="D156" s="2186"/>
      <c r="E156" s="2183"/>
      <c r="F156" s="2184"/>
      <c r="G156" s="2184"/>
      <c r="H156" s="2184"/>
      <c r="I156" s="2185"/>
      <c r="J156" s="2186"/>
      <c r="K156" s="2186"/>
      <c r="L156" s="2186"/>
      <c r="M156" s="2187"/>
    </row>
    <row r="157" spans="1:13">
      <c r="A157" s="2191"/>
      <c r="B157" s="2187"/>
      <c r="C157" s="2186"/>
      <c r="D157" s="2186"/>
      <c r="E157" s="2183"/>
      <c r="F157" s="2184"/>
      <c r="G157" s="2184"/>
      <c r="H157" s="2184"/>
      <c r="I157" s="2185"/>
      <c r="J157" s="2186"/>
      <c r="K157" s="2186"/>
      <c r="L157" s="2186"/>
      <c r="M157" s="2187"/>
    </row>
    <row r="158" spans="1:13">
      <c r="A158" s="2191"/>
      <c r="B158" s="2187"/>
      <c r="C158" s="2186"/>
      <c r="D158" s="2186"/>
      <c r="E158" s="2183"/>
      <c r="F158" s="2184"/>
      <c r="G158" s="2184"/>
      <c r="H158" s="2184"/>
      <c r="I158" s="2185"/>
      <c r="J158" s="2186"/>
      <c r="K158" s="2186"/>
      <c r="L158" s="2186"/>
      <c r="M158" s="2187"/>
    </row>
    <row r="159" spans="1:13">
      <c r="A159" s="2191"/>
      <c r="B159" s="2187"/>
      <c r="C159" s="2186"/>
      <c r="D159" s="2186"/>
      <c r="E159" s="2183"/>
      <c r="F159" s="2184"/>
      <c r="G159" s="2184"/>
      <c r="H159" s="2184"/>
      <c r="I159" s="2185"/>
      <c r="J159" s="2186"/>
      <c r="K159" s="2186"/>
      <c r="L159" s="2186"/>
      <c r="M159" s="2187"/>
    </row>
    <row r="160" spans="1:13">
      <c r="A160" s="2191"/>
      <c r="B160" s="2187"/>
      <c r="C160" s="2186"/>
      <c r="D160" s="2186"/>
      <c r="E160" s="2183"/>
      <c r="F160" s="2184"/>
      <c r="G160" s="2184"/>
      <c r="H160" s="2184"/>
      <c r="I160" s="2185"/>
      <c r="J160" s="2186"/>
      <c r="K160" s="2186"/>
      <c r="L160" s="2186"/>
      <c r="M160" s="2187"/>
    </row>
    <row r="161" spans="1:13">
      <c r="A161" s="2191"/>
      <c r="B161" s="2187"/>
      <c r="C161" s="2186"/>
      <c r="D161" s="2186"/>
      <c r="E161" s="2183"/>
      <c r="F161" s="2184"/>
      <c r="G161" s="2184"/>
      <c r="H161" s="2184"/>
      <c r="I161" s="2185"/>
      <c r="J161" s="2186"/>
      <c r="K161" s="2186"/>
      <c r="L161" s="2186"/>
      <c r="M161" s="2187"/>
    </row>
    <row r="162" spans="1:13">
      <c r="A162" s="2191"/>
      <c r="B162" s="2187"/>
      <c r="C162" s="2186"/>
      <c r="D162" s="2186"/>
      <c r="E162" s="2183"/>
      <c r="F162" s="2184"/>
      <c r="G162" s="2184"/>
      <c r="H162" s="2184"/>
      <c r="I162" s="2185"/>
      <c r="J162" s="2186"/>
      <c r="K162" s="2186"/>
      <c r="L162" s="2186"/>
      <c r="M162" s="2187"/>
    </row>
    <row r="163" spans="1:13">
      <c r="A163" s="2191"/>
      <c r="B163" s="2187"/>
      <c r="C163" s="2186"/>
      <c r="D163" s="2186"/>
      <c r="E163" s="2183"/>
      <c r="F163" s="2184"/>
      <c r="G163" s="2184"/>
      <c r="H163" s="2184"/>
      <c r="I163" s="2185"/>
      <c r="J163" s="2186"/>
      <c r="K163" s="2186"/>
      <c r="L163" s="2186"/>
      <c r="M163" s="2187"/>
    </row>
    <row r="164" spans="1:13">
      <c r="A164" s="2191"/>
      <c r="B164" s="2187"/>
      <c r="C164" s="2186"/>
      <c r="D164" s="2186"/>
      <c r="E164" s="2183"/>
      <c r="F164" s="2184"/>
      <c r="G164" s="2184"/>
      <c r="H164" s="2184"/>
      <c r="I164" s="2185"/>
      <c r="J164" s="2186"/>
      <c r="K164" s="2186"/>
      <c r="L164" s="2186"/>
      <c r="M164" s="2187"/>
    </row>
    <row r="165" spans="1:13">
      <c r="A165" s="2191"/>
      <c r="B165" s="2187"/>
      <c r="C165" s="2186"/>
      <c r="D165" s="2186"/>
      <c r="E165" s="2183"/>
      <c r="F165" s="2184"/>
      <c r="G165" s="2184"/>
      <c r="H165" s="2184"/>
      <c r="I165" s="2185"/>
      <c r="J165" s="2186"/>
      <c r="K165" s="2186"/>
      <c r="L165" s="2186"/>
      <c r="M165" s="2187"/>
    </row>
    <row r="166" spans="1:13">
      <c r="A166" s="2191"/>
      <c r="B166" s="2187"/>
      <c r="C166" s="2186"/>
      <c r="D166" s="2186"/>
      <c r="E166" s="2183"/>
      <c r="F166" s="2184"/>
      <c r="G166" s="2184"/>
      <c r="H166" s="2184"/>
      <c r="I166" s="2185"/>
      <c r="J166" s="2186"/>
      <c r="K166" s="2186"/>
      <c r="L166" s="2186"/>
      <c r="M166" s="2187"/>
    </row>
    <row r="167" spans="1:13">
      <c r="A167" s="2191"/>
      <c r="B167" s="2187"/>
      <c r="C167" s="2186"/>
      <c r="D167" s="2186"/>
      <c r="E167" s="2183"/>
      <c r="F167" s="2184"/>
      <c r="G167" s="2184"/>
      <c r="H167" s="2184"/>
      <c r="I167" s="2185"/>
      <c r="J167" s="2186"/>
      <c r="K167" s="2186"/>
      <c r="L167" s="2186"/>
      <c r="M167" s="2187"/>
    </row>
    <row r="168" spans="1:13">
      <c r="A168" s="2191"/>
      <c r="B168" s="2187"/>
      <c r="C168" s="2186"/>
      <c r="D168" s="2186"/>
      <c r="E168" s="2183"/>
      <c r="F168" s="2184"/>
      <c r="G168" s="2184"/>
      <c r="H168" s="2184"/>
      <c r="I168" s="2185"/>
      <c r="J168" s="2186"/>
      <c r="K168" s="2186"/>
      <c r="L168" s="2186"/>
      <c r="M168" s="2187"/>
    </row>
    <row r="169" spans="1:13">
      <c r="A169" s="2191"/>
      <c r="B169" s="2187"/>
      <c r="C169" s="2186"/>
      <c r="D169" s="2186"/>
      <c r="E169" s="2183"/>
      <c r="F169" s="2184"/>
      <c r="G169" s="2184"/>
      <c r="H169" s="2184"/>
      <c r="I169" s="2185"/>
      <c r="J169" s="2186"/>
      <c r="K169" s="2186"/>
      <c r="L169" s="2186"/>
      <c r="M169" s="2187"/>
    </row>
    <row r="170" spans="1:13">
      <c r="A170" s="2191"/>
      <c r="B170" s="2187"/>
      <c r="C170" s="2186"/>
      <c r="D170" s="2186"/>
      <c r="E170" s="2183"/>
      <c r="F170" s="2184"/>
      <c r="G170" s="2184"/>
      <c r="H170" s="2184"/>
      <c r="I170" s="2185"/>
      <c r="J170" s="2186"/>
      <c r="K170" s="2186"/>
      <c r="L170" s="2186"/>
      <c r="M170" s="2187"/>
    </row>
    <row r="171" spans="1:13">
      <c r="A171" s="2191"/>
      <c r="B171" s="2187"/>
      <c r="C171" s="2186"/>
      <c r="D171" s="2186"/>
      <c r="E171" s="2183"/>
      <c r="F171" s="2184"/>
      <c r="G171" s="2184"/>
      <c r="H171" s="2184"/>
      <c r="I171" s="2185"/>
      <c r="J171" s="2186"/>
      <c r="K171" s="2186"/>
      <c r="L171" s="2186"/>
      <c r="M171" s="2187"/>
    </row>
    <row r="172" spans="1:13">
      <c r="A172" s="2191"/>
      <c r="B172" s="2187"/>
      <c r="C172" s="2186"/>
      <c r="D172" s="2186"/>
      <c r="E172" s="2183"/>
      <c r="F172" s="2184"/>
      <c r="G172" s="2184"/>
      <c r="H172" s="2184"/>
      <c r="I172" s="2185"/>
      <c r="J172" s="2186"/>
      <c r="K172" s="2186"/>
      <c r="L172" s="2186"/>
      <c r="M172" s="2187"/>
    </row>
    <row r="173" spans="1:13">
      <c r="A173" s="2191"/>
      <c r="B173" s="2187"/>
      <c r="C173" s="2186"/>
      <c r="D173" s="2186"/>
      <c r="E173" s="2183"/>
      <c r="F173" s="2184"/>
      <c r="G173" s="2184"/>
      <c r="H173" s="2184"/>
      <c r="I173" s="2185"/>
      <c r="J173" s="2186"/>
      <c r="K173" s="2186"/>
      <c r="L173" s="2186"/>
      <c r="M173" s="2187"/>
    </row>
    <row r="174" spans="1:13">
      <c r="A174" s="2191"/>
      <c r="B174" s="2187"/>
      <c r="C174" s="2186"/>
      <c r="D174" s="2186"/>
      <c r="E174" s="2183"/>
      <c r="F174" s="2184"/>
      <c r="G174" s="2184"/>
      <c r="H174" s="2184"/>
      <c r="I174" s="2185"/>
      <c r="J174" s="2186"/>
      <c r="K174" s="2186"/>
      <c r="L174" s="2186"/>
      <c r="M174" s="2187"/>
    </row>
    <row r="175" spans="1:13">
      <c r="A175" s="2191"/>
      <c r="B175" s="2187"/>
      <c r="C175" s="2186"/>
      <c r="D175" s="2186"/>
      <c r="E175" s="2183"/>
      <c r="F175" s="2184"/>
      <c r="G175" s="2184"/>
      <c r="H175" s="2184"/>
      <c r="I175" s="2185"/>
      <c r="J175" s="2186"/>
      <c r="K175" s="2186"/>
      <c r="L175" s="2186"/>
      <c r="M175" s="2187"/>
    </row>
    <row r="176" spans="1:13">
      <c r="A176" s="2191"/>
      <c r="B176" s="2187"/>
      <c r="C176" s="2186"/>
      <c r="D176" s="2186"/>
      <c r="E176" s="2183"/>
      <c r="F176" s="2184"/>
      <c r="G176" s="2184"/>
      <c r="H176" s="2184"/>
      <c r="I176" s="2185"/>
      <c r="J176" s="2186"/>
      <c r="K176" s="2186"/>
      <c r="L176" s="2186"/>
      <c r="M176" s="2187"/>
    </row>
    <row r="177" spans="1:13">
      <c r="A177" s="2191"/>
      <c r="B177" s="2187"/>
      <c r="C177" s="2186"/>
      <c r="D177" s="2186"/>
      <c r="E177" s="2183"/>
      <c r="F177" s="2184"/>
      <c r="G177" s="2184"/>
      <c r="H177" s="2184"/>
      <c r="I177" s="2185"/>
      <c r="J177" s="2186"/>
      <c r="K177" s="2186"/>
      <c r="L177" s="2186"/>
      <c r="M177" s="2187"/>
    </row>
    <row r="178" spans="1:13">
      <c r="A178" s="2191"/>
      <c r="B178" s="2187"/>
      <c r="C178" s="2186"/>
      <c r="D178" s="2186"/>
      <c r="E178" s="2183"/>
      <c r="F178" s="2184"/>
      <c r="G178" s="2184"/>
      <c r="H178" s="2184"/>
      <c r="I178" s="2185"/>
      <c r="J178" s="2186"/>
      <c r="K178" s="2186"/>
      <c r="L178" s="2186"/>
      <c r="M178" s="2187"/>
    </row>
    <row r="179" spans="1:13">
      <c r="A179" s="2191"/>
      <c r="B179" s="2187"/>
      <c r="C179" s="2186"/>
      <c r="D179" s="2186"/>
      <c r="E179" s="2183"/>
      <c r="F179" s="2184"/>
      <c r="G179" s="2184"/>
      <c r="H179" s="2184"/>
      <c r="I179" s="2185"/>
      <c r="J179" s="2186"/>
      <c r="K179" s="2186"/>
      <c r="L179" s="2186"/>
      <c r="M179" s="2187"/>
    </row>
    <row r="180" spans="1:13">
      <c r="A180" s="2191"/>
      <c r="B180" s="2187"/>
      <c r="C180" s="2186"/>
      <c r="D180" s="2186"/>
      <c r="E180" s="2183"/>
      <c r="F180" s="2184"/>
      <c r="G180" s="2184"/>
      <c r="H180" s="2184"/>
      <c r="I180" s="2185"/>
      <c r="J180" s="2186"/>
      <c r="K180" s="2186"/>
      <c r="L180" s="2186"/>
      <c r="M180" s="2187"/>
    </row>
    <row r="181" spans="1:13">
      <c r="A181" s="2191"/>
      <c r="B181" s="2187"/>
      <c r="C181" s="2186"/>
      <c r="D181" s="2186"/>
      <c r="E181" s="2183"/>
      <c r="F181" s="2184"/>
      <c r="G181" s="2184"/>
      <c r="H181" s="2184"/>
      <c r="I181" s="2185"/>
      <c r="J181" s="2186"/>
      <c r="K181" s="2186"/>
      <c r="L181" s="2186"/>
      <c r="M181" s="2187"/>
    </row>
    <row r="182" spans="1:13">
      <c r="A182" s="2191"/>
      <c r="B182" s="2187"/>
      <c r="C182" s="2186"/>
      <c r="D182" s="2186"/>
      <c r="E182" s="2183"/>
      <c r="F182" s="2184"/>
      <c r="G182" s="2184"/>
      <c r="H182" s="2184"/>
      <c r="I182" s="2185"/>
      <c r="J182" s="2186"/>
      <c r="K182" s="2186"/>
      <c r="L182" s="2186"/>
      <c r="M182" s="2187"/>
    </row>
    <row r="183" spans="1:13">
      <c r="A183" s="2191"/>
      <c r="B183" s="2187"/>
      <c r="C183" s="2186"/>
      <c r="D183" s="2186"/>
      <c r="E183" s="2183"/>
      <c r="F183" s="2184"/>
      <c r="G183" s="2184"/>
      <c r="H183" s="2184"/>
      <c r="I183" s="2185"/>
      <c r="J183" s="2186"/>
      <c r="K183" s="2186"/>
      <c r="L183" s="2186"/>
      <c r="M183" s="2187"/>
    </row>
    <row r="184" spans="1:13">
      <c r="A184" s="2191"/>
      <c r="B184" s="2187"/>
      <c r="C184" s="2186"/>
      <c r="D184" s="2186"/>
      <c r="E184" s="2183"/>
      <c r="F184" s="2184"/>
      <c r="G184" s="2184"/>
      <c r="H184" s="2184"/>
      <c r="I184" s="2185"/>
      <c r="J184" s="2186"/>
      <c r="K184" s="2186"/>
      <c r="L184" s="2186"/>
      <c r="M184" s="2187"/>
    </row>
    <row r="185" spans="1:13">
      <c r="A185" s="2191"/>
      <c r="B185" s="2187"/>
      <c r="C185" s="2186"/>
      <c r="D185" s="2186"/>
      <c r="E185" s="2183"/>
      <c r="F185" s="2184"/>
      <c r="G185" s="2184"/>
      <c r="H185" s="2184"/>
      <c r="I185" s="2185"/>
      <c r="J185" s="2186"/>
      <c r="K185" s="2186"/>
      <c r="L185" s="2186"/>
      <c r="M185" s="2187"/>
    </row>
    <row r="186" spans="1:13">
      <c r="A186" s="2191"/>
      <c r="B186" s="2187"/>
      <c r="C186" s="2186"/>
      <c r="D186" s="2186"/>
      <c r="E186" s="2183"/>
      <c r="F186" s="2184"/>
      <c r="G186" s="2184"/>
      <c r="H186" s="2184"/>
      <c r="I186" s="2185"/>
      <c r="J186" s="2186"/>
      <c r="K186" s="2186"/>
      <c r="L186" s="2186"/>
      <c r="M186" s="2187"/>
    </row>
    <row r="187" spans="1:13">
      <c r="A187" s="2191"/>
      <c r="B187" s="2187"/>
      <c r="C187" s="2186"/>
      <c r="D187" s="2186"/>
      <c r="E187" s="2183"/>
      <c r="F187" s="2184"/>
      <c r="G187" s="2184"/>
      <c r="H187" s="2184"/>
      <c r="I187" s="2185"/>
      <c r="J187" s="2186"/>
      <c r="K187" s="2186"/>
      <c r="L187" s="2186"/>
      <c r="M187" s="2187"/>
    </row>
    <row r="188" spans="1:13">
      <c r="A188" s="2191"/>
      <c r="B188" s="2187"/>
      <c r="C188" s="2186"/>
      <c r="D188" s="2186"/>
      <c r="E188" s="2183"/>
      <c r="F188" s="2184"/>
      <c r="G188" s="2184"/>
      <c r="H188" s="2184"/>
      <c r="I188" s="2185"/>
      <c r="J188" s="2186"/>
      <c r="K188" s="2186"/>
      <c r="L188" s="2186"/>
      <c r="M188" s="2187"/>
    </row>
    <row r="189" spans="1:13">
      <c r="A189" s="2191"/>
      <c r="B189" s="2187"/>
      <c r="C189" s="2186"/>
      <c r="D189" s="2186"/>
      <c r="E189" s="2183"/>
      <c r="F189" s="2184"/>
      <c r="G189" s="2184"/>
      <c r="H189" s="2184"/>
      <c r="I189" s="2185"/>
      <c r="J189" s="2186"/>
      <c r="K189" s="2186"/>
      <c r="L189" s="2186"/>
      <c r="M189" s="2187"/>
    </row>
    <row r="190" spans="1:13">
      <c r="A190" s="2191"/>
      <c r="B190" s="2187"/>
      <c r="C190" s="2186"/>
      <c r="D190" s="2186"/>
      <c r="E190" s="2183"/>
      <c r="F190" s="2184"/>
      <c r="G190" s="2184"/>
      <c r="H190" s="2184"/>
      <c r="I190" s="2185"/>
      <c r="J190" s="2186"/>
      <c r="K190" s="2186"/>
      <c r="L190" s="2186"/>
      <c r="M190" s="2187"/>
    </row>
    <row r="191" spans="1:13">
      <c r="A191" s="2191"/>
      <c r="B191" s="2187"/>
      <c r="C191" s="2186"/>
      <c r="D191" s="2186"/>
      <c r="E191" s="2183"/>
      <c r="F191" s="2184"/>
      <c r="G191" s="2184"/>
      <c r="H191" s="2184"/>
      <c r="I191" s="2185"/>
      <c r="J191" s="2186"/>
      <c r="K191" s="2186"/>
      <c r="L191" s="2186"/>
      <c r="M191" s="2187"/>
    </row>
    <row r="192" spans="1:13">
      <c r="A192" s="2191"/>
      <c r="B192" s="2187"/>
      <c r="C192" s="2186"/>
      <c r="D192" s="2186"/>
      <c r="E192" s="2183"/>
      <c r="F192" s="2184"/>
      <c r="G192" s="2184"/>
      <c r="H192" s="2184"/>
      <c r="I192" s="2185"/>
      <c r="J192" s="2186"/>
      <c r="K192" s="2186"/>
      <c r="L192" s="2186"/>
      <c r="M192" s="2187"/>
    </row>
    <row r="193" spans="1:13">
      <c r="A193" s="2191"/>
      <c r="B193" s="2187"/>
      <c r="C193" s="2186"/>
      <c r="D193" s="2186"/>
      <c r="E193" s="2183"/>
      <c r="F193" s="2184"/>
      <c r="G193" s="2184"/>
      <c r="H193" s="2184"/>
      <c r="I193" s="2185"/>
      <c r="J193" s="2186"/>
      <c r="K193" s="2186"/>
      <c r="L193" s="2186"/>
      <c r="M193" s="2187"/>
    </row>
    <row r="194" spans="1:13">
      <c r="A194" s="2191"/>
      <c r="B194" s="2187"/>
      <c r="C194" s="2186"/>
      <c r="D194" s="2186"/>
      <c r="E194" s="2183"/>
      <c r="F194" s="2184"/>
      <c r="G194" s="2184"/>
      <c r="H194" s="2184"/>
      <c r="I194" s="2185"/>
      <c r="J194" s="2186"/>
      <c r="K194" s="2186"/>
      <c r="L194" s="2186"/>
      <c r="M194" s="2187"/>
    </row>
    <row r="195" spans="1:13" ht="13.8" thickBot="1">
      <c r="A195" s="2216"/>
      <c r="B195" s="2217"/>
      <c r="C195" s="2186"/>
      <c r="D195" s="2186"/>
      <c r="E195" s="2188"/>
      <c r="F195" s="2189"/>
      <c r="G195" s="2189"/>
      <c r="H195" s="2189"/>
      <c r="I195" s="2190"/>
      <c r="J195" s="2186"/>
      <c r="K195" s="2186"/>
      <c r="L195" s="2186"/>
      <c r="M195" s="2187"/>
    </row>
  </sheetData>
  <sheetProtection algorithmName="SHA-512" hashValue="UW5N8S93rNZm/oCjJBdRF9lGmvcB/l5agC19aizVTRq6YZssC28K+hK9dKV4+0XyeTFpCU8IUOF+0Ux8eCcIXA==" saltValue="f6qDkPundIlLkQIhwo2UZQ==" spinCount="100000" sheet="1" objects="1" scenarios="1"/>
  <mergeCells count="761">
    <mergeCell ref="A1:C1"/>
    <mergeCell ref="G1:I1"/>
    <mergeCell ref="A2:C2"/>
    <mergeCell ref="G2:I2"/>
    <mergeCell ref="A4:M6"/>
    <mergeCell ref="A7:B7"/>
    <mergeCell ref="C7:D7"/>
    <mergeCell ref="E7:I7"/>
    <mergeCell ref="J7:M7"/>
    <mergeCell ref="A10:B10"/>
    <mergeCell ref="C10:D10"/>
    <mergeCell ref="E10:I10"/>
    <mergeCell ref="J10:M10"/>
    <mergeCell ref="A11:B11"/>
    <mergeCell ref="C11:D11"/>
    <mergeCell ref="E11:I11"/>
    <mergeCell ref="J11:M11"/>
    <mergeCell ref="A8:B8"/>
    <mergeCell ref="C8:D8"/>
    <mergeCell ref="E8:I8"/>
    <mergeCell ref="J8:M8"/>
    <mergeCell ref="A9:B9"/>
    <mergeCell ref="C9:D9"/>
    <mergeCell ref="E9:I9"/>
    <mergeCell ref="J9:M9"/>
    <mergeCell ref="A14:B14"/>
    <mergeCell ref="C14:D14"/>
    <mergeCell ref="E14:I14"/>
    <mergeCell ref="J14:M14"/>
    <mergeCell ref="A15:B15"/>
    <mergeCell ref="C15:D15"/>
    <mergeCell ref="E15:I15"/>
    <mergeCell ref="J15:M15"/>
    <mergeCell ref="A12:B12"/>
    <mergeCell ref="C12:D12"/>
    <mergeCell ref="E12:I12"/>
    <mergeCell ref="J12:M12"/>
    <mergeCell ref="A13:B13"/>
    <mergeCell ref="C13:D13"/>
    <mergeCell ref="E13:I13"/>
    <mergeCell ref="J13:M13"/>
    <mergeCell ref="A18:B18"/>
    <mergeCell ref="C18:D18"/>
    <mergeCell ref="E18:I18"/>
    <mergeCell ref="J18:M18"/>
    <mergeCell ref="A19:B19"/>
    <mergeCell ref="C19:D19"/>
    <mergeCell ref="E19:I19"/>
    <mergeCell ref="J19:M19"/>
    <mergeCell ref="A16:B16"/>
    <mergeCell ref="C16:D16"/>
    <mergeCell ref="E16:I16"/>
    <mergeCell ref="J16:M16"/>
    <mergeCell ref="A17:B17"/>
    <mergeCell ref="C17:D17"/>
    <mergeCell ref="E17:I17"/>
    <mergeCell ref="J17:M17"/>
    <mergeCell ref="A22:B22"/>
    <mergeCell ref="C22:D22"/>
    <mergeCell ref="E22:I22"/>
    <mergeCell ref="J22:M22"/>
    <mergeCell ref="A23:B23"/>
    <mergeCell ref="C23:D23"/>
    <mergeCell ref="E23:I23"/>
    <mergeCell ref="J23:M23"/>
    <mergeCell ref="A20:B20"/>
    <mergeCell ref="C20:D20"/>
    <mergeCell ref="E20:I20"/>
    <mergeCell ref="J20:M20"/>
    <mergeCell ref="A21:B21"/>
    <mergeCell ref="C21:D21"/>
    <mergeCell ref="E21:I21"/>
    <mergeCell ref="J21:M21"/>
    <mergeCell ref="A26:B26"/>
    <mergeCell ref="C26:D26"/>
    <mergeCell ref="E26:I26"/>
    <mergeCell ref="J26:M26"/>
    <mergeCell ref="A27:B27"/>
    <mergeCell ref="C27:D27"/>
    <mergeCell ref="E27:I27"/>
    <mergeCell ref="J27:M27"/>
    <mergeCell ref="A24:B24"/>
    <mergeCell ref="C24:D24"/>
    <mergeCell ref="E24:I24"/>
    <mergeCell ref="J24:M24"/>
    <mergeCell ref="A25:B25"/>
    <mergeCell ref="C25:D25"/>
    <mergeCell ref="E25:I25"/>
    <mergeCell ref="J25:M25"/>
    <mergeCell ref="A30:B30"/>
    <mergeCell ref="C30:D30"/>
    <mergeCell ref="E30:I30"/>
    <mergeCell ref="J30:M30"/>
    <mergeCell ref="A31:B31"/>
    <mergeCell ref="C31:D31"/>
    <mergeCell ref="E31:I31"/>
    <mergeCell ref="J31:M31"/>
    <mergeCell ref="A28:B28"/>
    <mergeCell ref="C28:D28"/>
    <mergeCell ref="E28:I28"/>
    <mergeCell ref="J28:M28"/>
    <mergeCell ref="A29:B29"/>
    <mergeCell ref="C29:D29"/>
    <mergeCell ref="E29:I29"/>
    <mergeCell ref="J29:M29"/>
    <mergeCell ref="A34:B34"/>
    <mergeCell ref="C34:D34"/>
    <mergeCell ref="E34:I34"/>
    <mergeCell ref="J34:M34"/>
    <mergeCell ref="A35:B35"/>
    <mergeCell ref="C35:D35"/>
    <mergeCell ref="E35:I35"/>
    <mergeCell ref="J35:M35"/>
    <mergeCell ref="A32:B32"/>
    <mergeCell ref="C32:D32"/>
    <mergeCell ref="E32:I32"/>
    <mergeCell ref="J32:M32"/>
    <mergeCell ref="A33:B33"/>
    <mergeCell ref="C33:D33"/>
    <mergeCell ref="E33:I33"/>
    <mergeCell ref="J33:M33"/>
    <mergeCell ref="A38:B38"/>
    <mergeCell ref="C38:D38"/>
    <mergeCell ref="E38:I38"/>
    <mergeCell ref="J38:M38"/>
    <mergeCell ref="A39:B39"/>
    <mergeCell ref="C39:D39"/>
    <mergeCell ref="E39:I39"/>
    <mergeCell ref="J39:M39"/>
    <mergeCell ref="A36:B36"/>
    <mergeCell ref="C36:D36"/>
    <mergeCell ref="E36:I36"/>
    <mergeCell ref="J36:M36"/>
    <mergeCell ref="A37:B37"/>
    <mergeCell ref="C37:D37"/>
    <mergeCell ref="E37:I37"/>
    <mergeCell ref="J37:M37"/>
    <mergeCell ref="A42:B42"/>
    <mergeCell ref="C42:D42"/>
    <mergeCell ref="E42:I42"/>
    <mergeCell ref="J42:M42"/>
    <mergeCell ref="A43:B43"/>
    <mergeCell ref="C43:D43"/>
    <mergeCell ref="E43:I43"/>
    <mergeCell ref="J43:M43"/>
    <mergeCell ref="A40:B40"/>
    <mergeCell ref="C40:D40"/>
    <mergeCell ref="E40:I40"/>
    <mergeCell ref="J40:M40"/>
    <mergeCell ref="A41:B41"/>
    <mergeCell ref="C41:D41"/>
    <mergeCell ref="E41:I41"/>
    <mergeCell ref="J41:M41"/>
    <mergeCell ref="A46:B46"/>
    <mergeCell ref="C46:D46"/>
    <mergeCell ref="E46:I46"/>
    <mergeCell ref="J46:M46"/>
    <mergeCell ref="A47:B47"/>
    <mergeCell ref="C47:D47"/>
    <mergeCell ref="E47:I47"/>
    <mergeCell ref="J47:M47"/>
    <mergeCell ref="A44:B44"/>
    <mergeCell ref="C44:D44"/>
    <mergeCell ref="E44:I44"/>
    <mergeCell ref="J44:M44"/>
    <mergeCell ref="A45:B45"/>
    <mergeCell ref="C45:D45"/>
    <mergeCell ref="E45:I45"/>
    <mergeCell ref="J45:M45"/>
    <mergeCell ref="A50:B50"/>
    <mergeCell ref="C50:D50"/>
    <mergeCell ref="E50:I50"/>
    <mergeCell ref="J50:M50"/>
    <mergeCell ref="A51:B51"/>
    <mergeCell ref="C51:D51"/>
    <mergeCell ref="E51:I51"/>
    <mergeCell ref="J51:M51"/>
    <mergeCell ref="A48:B48"/>
    <mergeCell ref="C48:D48"/>
    <mergeCell ref="E48:I48"/>
    <mergeCell ref="J48:M48"/>
    <mergeCell ref="A49:B49"/>
    <mergeCell ref="C49:D49"/>
    <mergeCell ref="E49:I49"/>
    <mergeCell ref="J49:M49"/>
    <mergeCell ref="A54:B54"/>
    <mergeCell ref="C54:D54"/>
    <mergeCell ref="E54:I54"/>
    <mergeCell ref="J54:M54"/>
    <mergeCell ref="A55:B55"/>
    <mergeCell ref="C55:D55"/>
    <mergeCell ref="E55:I55"/>
    <mergeCell ref="J55:M55"/>
    <mergeCell ref="A52:B52"/>
    <mergeCell ref="C52:D52"/>
    <mergeCell ref="E52:I52"/>
    <mergeCell ref="J52:M52"/>
    <mergeCell ref="A53:B53"/>
    <mergeCell ref="C53:D53"/>
    <mergeCell ref="E53:I53"/>
    <mergeCell ref="J53:M53"/>
    <mergeCell ref="A58:B58"/>
    <mergeCell ref="C58:D58"/>
    <mergeCell ref="E58:I58"/>
    <mergeCell ref="J58:M58"/>
    <mergeCell ref="A59:B59"/>
    <mergeCell ref="C59:D59"/>
    <mergeCell ref="E59:I59"/>
    <mergeCell ref="J59:M59"/>
    <mergeCell ref="A56:B56"/>
    <mergeCell ref="C56:D56"/>
    <mergeCell ref="E56:I56"/>
    <mergeCell ref="J56:M56"/>
    <mergeCell ref="A57:B57"/>
    <mergeCell ref="C57:D57"/>
    <mergeCell ref="E57:I57"/>
    <mergeCell ref="J57:M57"/>
    <mergeCell ref="A62:B62"/>
    <mergeCell ref="C62:D62"/>
    <mergeCell ref="E62:I62"/>
    <mergeCell ref="J62:M62"/>
    <mergeCell ref="A63:B63"/>
    <mergeCell ref="C63:D63"/>
    <mergeCell ref="E63:I63"/>
    <mergeCell ref="J63:M63"/>
    <mergeCell ref="A60:B60"/>
    <mergeCell ref="C60:D60"/>
    <mergeCell ref="E60:I60"/>
    <mergeCell ref="J60:M60"/>
    <mergeCell ref="A61:B61"/>
    <mergeCell ref="C61:D61"/>
    <mergeCell ref="E61:I61"/>
    <mergeCell ref="J61:M61"/>
    <mergeCell ref="A66:B66"/>
    <mergeCell ref="C66:D66"/>
    <mergeCell ref="E66:I66"/>
    <mergeCell ref="J66:M66"/>
    <mergeCell ref="A67:B67"/>
    <mergeCell ref="C67:D67"/>
    <mergeCell ref="E67:I67"/>
    <mergeCell ref="J67:M67"/>
    <mergeCell ref="A64:B64"/>
    <mergeCell ref="C64:D64"/>
    <mergeCell ref="E64:I64"/>
    <mergeCell ref="J64:M64"/>
    <mergeCell ref="A65:B65"/>
    <mergeCell ref="C65:D65"/>
    <mergeCell ref="E65:I65"/>
    <mergeCell ref="J65:M65"/>
    <mergeCell ref="A70:B70"/>
    <mergeCell ref="C70:D70"/>
    <mergeCell ref="E70:I70"/>
    <mergeCell ref="J70:M70"/>
    <mergeCell ref="A71:B71"/>
    <mergeCell ref="C71:D71"/>
    <mergeCell ref="E71:I71"/>
    <mergeCell ref="J71:M71"/>
    <mergeCell ref="A68:B68"/>
    <mergeCell ref="C68:D68"/>
    <mergeCell ref="E68:I68"/>
    <mergeCell ref="J68:M68"/>
    <mergeCell ref="A69:B69"/>
    <mergeCell ref="C69:D69"/>
    <mergeCell ref="E69:I69"/>
    <mergeCell ref="J69:M69"/>
    <mergeCell ref="A74:B74"/>
    <mergeCell ref="C74:D74"/>
    <mergeCell ref="E74:I74"/>
    <mergeCell ref="J74:M74"/>
    <mergeCell ref="A75:B75"/>
    <mergeCell ref="C75:D75"/>
    <mergeCell ref="E75:I75"/>
    <mergeCell ref="J75:M75"/>
    <mergeCell ref="A72:B72"/>
    <mergeCell ref="C72:D72"/>
    <mergeCell ref="E72:I72"/>
    <mergeCell ref="J72:M72"/>
    <mergeCell ref="A73:B73"/>
    <mergeCell ref="C73:D73"/>
    <mergeCell ref="E73:I73"/>
    <mergeCell ref="J73:M73"/>
    <mergeCell ref="A78:B78"/>
    <mergeCell ref="C78:D78"/>
    <mergeCell ref="E78:I78"/>
    <mergeCell ref="J78:M78"/>
    <mergeCell ref="A79:B79"/>
    <mergeCell ref="C79:D79"/>
    <mergeCell ref="E79:I79"/>
    <mergeCell ref="J79:M79"/>
    <mergeCell ref="A76:B76"/>
    <mergeCell ref="C76:D76"/>
    <mergeCell ref="E76:I76"/>
    <mergeCell ref="J76:M76"/>
    <mergeCell ref="A77:B77"/>
    <mergeCell ref="C77:D77"/>
    <mergeCell ref="E77:I77"/>
    <mergeCell ref="J77:M77"/>
    <mergeCell ref="A82:B82"/>
    <mergeCell ref="C82:D82"/>
    <mergeCell ref="E82:I82"/>
    <mergeCell ref="J82:M82"/>
    <mergeCell ref="A83:B83"/>
    <mergeCell ref="C83:D83"/>
    <mergeCell ref="E83:I83"/>
    <mergeCell ref="J83:M83"/>
    <mergeCell ref="A80:B80"/>
    <mergeCell ref="C80:D80"/>
    <mergeCell ref="E80:I80"/>
    <mergeCell ref="J80:M80"/>
    <mergeCell ref="A81:B81"/>
    <mergeCell ref="C81:D81"/>
    <mergeCell ref="E81:I81"/>
    <mergeCell ref="J81:M81"/>
    <mergeCell ref="A86:B86"/>
    <mergeCell ref="C86:D86"/>
    <mergeCell ref="E86:I86"/>
    <mergeCell ref="J86:M86"/>
    <mergeCell ref="A87:B87"/>
    <mergeCell ref="C87:D87"/>
    <mergeCell ref="E87:I87"/>
    <mergeCell ref="J87:M87"/>
    <mergeCell ref="A84:B84"/>
    <mergeCell ref="C84:D84"/>
    <mergeCell ref="E84:I84"/>
    <mergeCell ref="J84:M84"/>
    <mergeCell ref="A85:B85"/>
    <mergeCell ref="C85:D85"/>
    <mergeCell ref="E85:I85"/>
    <mergeCell ref="J85:M85"/>
    <mergeCell ref="A90:B90"/>
    <mergeCell ref="C90:D90"/>
    <mergeCell ref="E90:I90"/>
    <mergeCell ref="J90:M90"/>
    <mergeCell ref="A91:B91"/>
    <mergeCell ref="C91:D91"/>
    <mergeCell ref="E91:I91"/>
    <mergeCell ref="J91:M91"/>
    <mergeCell ref="A88:B88"/>
    <mergeCell ref="C88:D88"/>
    <mergeCell ref="E88:I88"/>
    <mergeCell ref="J88:M88"/>
    <mergeCell ref="A89:B89"/>
    <mergeCell ref="C89:D89"/>
    <mergeCell ref="E89:I89"/>
    <mergeCell ref="J89:M89"/>
    <mergeCell ref="A94:B94"/>
    <mergeCell ref="C94:D94"/>
    <mergeCell ref="E94:I94"/>
    <mergeCell ref="J94:M94"/>
    <mergeCell ref="A95:B95"/>
    <mergeCell ref="C95:D95"/>
    <mergeCell ref="E95:I95"/>
    <mergeCell ref="J95:M95"/>
    <mergeCell ref="A92:B92"/>
    <mergeCell ref="C92:D92"/>
    <mergeCell ref="E92:I92"/>
    <mergeCell ref="J92:M92"/>
    <mergeCell ref="A93:B93"/>
    <mergeCell ref="C93:D93"/>
    <mergeCell ref="E93:I93"/>
    <mergeCell ref="J93:M93"/>
    <mergeCell ref="A98:B98"/>
    <mergeCell ref="C98:D98"/>
    <mergeCell ref="E98:I98"/>
    <mergeCell ref="J98:M98"/>
    <mergeCell ref="A99:B99"/>
    <mergeCell ref="C99:D99"/>
    <mergeCell ref="E99:I99"/>
    <mergeCell ref="J99:M99"/>
    <mergeCell ref="A96:B96"/>
    <mergeCell ref="C96:D96"/>
    <mergeCell ref="E96:I96"/>
    <mergeCell ref="J96:M96"/>
    <mergeCell ref="A97:B97"/>
    <mergeCell ref="C97:D97"/>
    <mergeCell ref="E97:I97"/>
    <mergeCell ref="J97:M97"/>
    <mergeCell ref="A102:B102"/>
    <mergeCell ref="C102:D102"/>
    <mergeCell ref="E102:I102"/>
    <mergeCell ref="J102:M102"/>
    <mergeCell ref="A103:B103"/>
    <mergeCell ref="C103:D103"/>
    <mergeCell ref="E103:I103"/>
    <mergeCell ref="J103:M103"/>
    <mergeCell ref="A100:B100"/>
    <mergeCell ref="C100:D100"/>
    <mergeCell ref="E100:I100"/>
    <mergeCell ref="J100:M100"/>
    <mergeCell ref="A101:B101"/>
    <mergeCell ref="C101:D101"/>
    <mergeCell ref="E101:I101"/>
    <mergeCell ref="J101:M101"/>
    <mergeCell ref="A106:B106"/>
    <mergeCell ref="C106:D106"/>
    <mergeCell ref="E106:I106"/>
    <mergeCell ref="J106:M106"/>
    <mergeCell ref="A107:B107"/>
    <mergeCell ref="C107:D107"/>
    <mergeCell ref="E107:I107"/>
    <mergeCell ref="J107:M107"/>
    <mergeCell ref="A104:B104"/>
    <mergeCell ref="C104:D104"/>
    <mergeCell ref="E104:I104"/>
    <mergeCell ref="J104:M104"/>
    <mergeCell ref="A105:B105"/>
    <mergeCell ref="C105:D105"/>
    <mergeCell ref="E105:I105"/>
    <mergeCell ref="J105:M105"/>
    <mergeCell ref="A110:B110"/>
    <mergeCell ref="C110:D110"/>
    <mergeCell ref="E110:I110"/>
    <mergeCell ref="J110:M110"/>
    <mergeCell ref="A111:B111"/>
    <mergeCell ref="C111:D111"/>
    <mergeCell ref="E111:I111"/>
    <mergeCell ref="J111:M111"/>
    <mergeCell ref="A108:B108"/>
    <mergeCell ref="C108:D108"/>
    <mergeCell ref="E108:I108"/>
    <mergeCell ref="J108:M108"/>
    <mergeCell ref="A109:B109"/>
    <mergeCell ref="C109:D109"/>
    <mergeCell ref="E109:I109"/>
    <mergeCell ref="J109:M109"/>
    <mergeCell ref="A114:B114"/>
    <mergeCell ref="C114:D114"/>
    <mergeCell ref="E114:I114"/>
    <mergeCell ref="J114:M114"/>
    <mergeCell ref="A115:B115"/>
    <mergeCell ref="C115:D115"/>
    <mergeCell ref="E115:I115"/>
    <mergeCell ref="J115:M115"/>
    <mergeCell ref="A112:B112"/>
    <mergeCell ref="C112:D112"/>
    <mergeCell ref="E112:I112"/>
    <mergeCell ref="J112:M112"/>
    <mergeCell ref="A113:B113"/>
    <mergeCell ref="C113:D113"/>
    <mergeCell ref="E113:I113"/>
    <mergeCell ref="J113:M113"/>
    <mergeCell ref="A118:B118"/>
    <mergeCell ref="C118:D118"/>
    <mergeCell ref="E118:I118"/>
    <mergeCell ref="J118:M118"/>
    <mergeCell ref="A119:B119"/>
    <mergeCell ref="C119:D119"/>
    <mergeCell ref="E119:I119"/>
    <mergeCell ref="J119:M119"/>
    <mergeCell ref="A116:B116"/>
    <mergeCell ref="C116:D116"/>
    <mergeCell ref="E116:I116"/>
    <mergeCell ref="J116:M116"/>
    <mergeCell ref="A117:B117"/>
    <mergeCell ref="C117:D117"/>
    <mergeCell ref="E117:I117"/>
    <mergeCell ref="J117:M117"/>
    <mergeCell ref="A122:B122"/>
    <mergeCell ref="C122:D122"/>
    <mergeCell ref="E122:I122"/>
    <mergeCell ref="J122:M122"/>
    <mergeCell ref="A123:B123"/>
    <mergeCell ref="C123:D123"/>
    <mergeCell ref="E123:I123"/>
    <mergeCell ref="J123:M123"/>
    <mergeCell ref="A120:B120"/>
    <mergeCell ref="C120:D120"/>
    <mergeCell ref="E120:I120"/>
    <mergeCell ref="J120:M120"/>
    <mergeCell ref="A121:B121"/>
    <mergeCell ref="C121:D121"/>
    <mergeCell ref="E121:I121"/>
    <mergeCell ref="J121:M121"/>
    <mergeCell ref="A126:B126"/>
    <mergeCell ref="C126:D126"/>
    <mergeCell ref="E126:I126"/>
    <mergeCell ref="J126:M126"/>
    <mergeCell ref="A127:B127"/>
    <mergeCell ref="C127:D127"/>
    <mergeCell ref="E127:I127"/>
    <mergeCell ref="J127:M127"/>
    <mergeCell ref="A124:B124"/>
    <mergeCell ref="C124:D124"/>
    <mergeCell ref="E124:I124"/>
    <mergeCell ref="J124:M124"/>
    <mergeCell ref="A125:B125"/>
    <mergeCell ref="C125:D125"/>
    <mergeCell ref="E125:I125"/>
    <mergeCell ref="J125:M125"/>
    <mergeCell ref="A130:B130"/>
    <mergeCell ref="C130:D130"/>
    <mergeCell ref="E130:I130"/>
    <mergeCell ref="J130:M130"/>
    <mergeCell ref="A131:B131"/>
    <mergeCell ref="C131:D131"/>
    <mergeCell ref="E131:I131"/>
    <mergeCell ref="J131:M131"/>
    <mergeCell ref="A128:B128"/>
    <mergeCell ref="C128:D128"/>
    <mergeCell ref="E128:I128"/>
    <mergeCell ref="J128:M128"/>
    <mergeCell ref="A129:B129"/>
    <mergeCell ref="C129:D129"/>
    <mergeCell ref="E129:I129"/>
    <mergeCell ref="J129:M129"/>
    <mergeCell ref="A134:B134"/>
    <mergeCell ref="C134:D134"/>
    <mergeCell ref="E134:I134"/>
    <mergeCell ref="J134:M134"/>
    <mergeCell ref="A135:B135"/>
    <mergeCell ref="C135:D135"/>
    <mergeCell ref="E135:I135"/>
    <mergeCell ref="J135:M135"/>
    <mergeCell ref="A132:B132"/>
    <mergeCell ref="C132:D132"/>
    <mergeCell ref="E132:I132"/>
    <mergeCell ref="J132:M132"/>
    <mergeCell ref="A133:B133"/>
    <mergeCell ref="C133:D133"/>
    <mergeCell ref="E133:I133"/>
    <mergeCell ref="J133:M133"/>
    <mergeCell ref="A138:B138"/>
    <mergeCell ref="C138:D138"/>
    <mergeCell ref="E138:I138"/>
    <mergeCell ref="J138:M138"/>
    <mergeCell ref="A139:B139"/>
    <mergeCell ref="C139:D139"/>
    <mergeCell ref="E139:I139"/>
    <mergeCell ref="J139:M139"/>
    <mergeCell ref="A136:B136"/>
    <mergeCell ref="C136:D136"/>
    <mergeCell ref="E136:I136"/>
    <mergeCell ref="J136:M136"/>
    <mergeCell ref="A137:B137"/>
    <mergeCell ref="C137:D137"/>
    <mergeCell ref="E137:I137"/>
    <mergeCell ref="J137:M137"/>
    <mergeCell ref="A142:B142"/>
    <mergeCell ref="C142:D142"/>
    <mergeCell ref="E142:I142"/>
    <mergeCell ref="J142:M142"/>
    <mergeCell ref="A143:B143"/>
    <mergeCell ref="C143:D143"/>
    <mergeCell ref="E143:I143"/>
    <mergeCell ref="J143:M143"/>
    <mergeCell ref="A140:B140"/>
    <mergeCell ref="C140:D140"/>
    <mergeCell ref="E140:I140"/>
    <mergeCell ref="J140:M140"/>
    <mergeCell ref="A141:B141"/>
    <mergeCell ref="C141:D141"/>
    <mergeCell ref="E141:I141"/>
    <mergeCell ref="J141:M141"/>
    <mergeCell ref="A146:B146"/>
    <mergeCell ref="C146:D146"/>
    <mergeCell ref="E146:I146"/>
    <mergeCell ref="J146:M146"/>
    <mergeCell ref="A147:B147"/>
    <mergeCell ref="C147:D147"/>
    <mergeCell ref="E147:I147"/>
    <mergeCell ref="J147:M147"/>
    <mergeCell ref="A144:B144"/>
    <mergeCell ref="C144:D144"/>
    <mergeCell ref="E144:I144"/>
    <mergeCell ref="J144:M144"/>
    <mergeCell ref="A145:B145"/>
    <mergeCell ref="C145:D145"/>
    <mergeCell ref="E145:I145"/>
    <mergeCell ref="J145:M145"/>
    <mergeCell ref="A150:B150"/>
    <mergeCell ref="C150:D150"/>
    <mergeCell ref="E150:I150"/>
    <mergeCell ref="J150:M150"/>
    <mergeCell ref="A151:B151"/>
    <mergeCell ref="C151:D151"/>
    <mergeCell ref="E151:I151"/>
    <mergeCell ref="J151:M151"/>
    <mergeCell ref="A148:B148"/>
    <mergeCell ref="C148:D148"/>
    <mergeCell ref="E148:I148"/>
    <mergeCell ref="J148:M148"/>
    <mergeCell ref="A149:B149"/>
    <mergeCell ref="C149:D149"/>
    <mergeCell ref="E149:I149"/>
    <mergeCell ref="J149:M149"/>
    <mergeCell ref="A154:B154"/>
    <mergeCell ref="C154:D154"/>
    <mergeCell ref="E154:I154"/>
    <mergeCell ref="J154:M154"/>
    <mergeCell ref="A155:B155"/>
    <mergeCell ref="C155:D155"/>
    <mergeCell ref="E155:I155"/>
    <mergeCell ref="J155:M155"/>
    <mergeCell ref="A152:B152"/>
    <mergeCell ref="C152:D152"/>
    <mergeCell ref="E152:I152"/>
    <mergeCell ref="J152:M152"/>
    <mergeCell ref="A153:B153"/>
    <mergeCell ref="C153:D153"/>
    <mergeCell ref="E153:I153"/>
    <mergeCell ref="J153:M153"/>
    <mergeCell ref="A158:B158"/>
    <mergeCell ref="C158:D158"/>
    <mergeCell ref="E158:I158"/>
    <mergeCell ref="J158:M158"/>
    <mergeCell ref="A159:B159"/>
    <mergeCell ref="C159:D159"/>
    <mergeCell ref="E159:I159"/>
    <mergeCell ref="J159:M159"/>
    <mergeCell ref="A156:B156"/>
    <mergeCell ref="C156:D156"/>
    <mergeCell ref="E156:I156"/>
    <mergeCell ref="J156:M156"/>
    <mergeCell ref="A157:B157"/>
    <mergeCell ref="C157:D157"/>
    <mergeCell ref="E157:I157"/>
    <mergeCell ref="J157:M157"/>
    <mergeCell ref="A162:B162"/>
    <mergeCell ref="C162:D162"/>
    <mergeCell ref="E162:I162"/>
    <mergeCell ref="J162:M162"/>
    <mergeCell ref="A163:B163"/>
    <mergeCell ref="C163:D163"/>
    <mergeCell ref="E163:I163"/>
    <mergeCell ref="J163:M163"/>
    <mergeCell ref="A160:B160"/>
    <mergeCell ref="C160:D160"/>
    <mergeCell ref="E160:I160"/>
    <mergeCell ref="J160:M160"/>
    <mergeCell ref="A161:B161"/>
    <mergeCell ref="C161:D161"/>
    <mergeCell ref="E161:I161"/>
    <mergeCell ref="J161:M161"/>
    <mergeCell ref="A166:B166"/>
    <mergeCell ref="C166:D166"/>
    <mergeCell ref="E166:I166"/>
    <mergeCell ref="J166:M166"/>
    <mergeCell ref="A167:B167"/>
    <mergeCell ref="C167:D167"/>
    <mergeCell ref="E167:I167"/>
    <mergeCell ref="J167:M167"/>
    <mergeCell ref="A164:B164"/>
    <mergeCell ref="C164:D164"/>
    <mergeCell ref="E164:I164"/>
    <mergeCell ref="J164:M164"/>
    <mergeCell ref="A165:B165"/>
    <mergeCell ref="C165:D165"/>
    <mergeCell ref="E165:I165"/>
    <mergeCell ref="J165:M165"/>
    <mergeCell ref="A170:B170"/>
    <mergeCell ref="C170:D170"/>
    <mergeCell ref="E170:I170"/>
    <mergeCell ref="J170:M170"/>
    <mergeCell ref="A171:B171"/>
    <mergeCell ref="C171:D171"/>
    <mergeCell ref="E171:I171"/>
    <mergeCell ref="J171:M171"/>
    <mergeCell ref="A168:B168"/>
    <mergeCell ref="C168:D168"/>
    <mergeCell ref="E168:I168"/>
    <mergeCell ref="J168:M168"/>
    <mergeCell ref="A169:B169"/>
    <mergeCell ref="C169:D169"/>
    <mergeCell ref="E169:I169"/>
    <mergeCell ref="J169:M169"/>
    <mergeCell ref="A174:B174"/>
    <mergeCell ref="C174:D174"/>
    <mergeCell ref="E174:I174"/>
    <mergeCell ref="J174:M174"/>
    <mergeCell ref="A175:B175"/>
    <mergeCell ref="C175:D175"/>
    <mergeCell ref="E175:I175"/>
    <mergeCell ref="J175:M175"/>
    <mergeCell ref="A172:B172"/>
    <mergeCell ref="C172:D172"/>
    <mergeCell ref="E172:I172"/>
    <mergeCell ref="J172:M172"/>
    <mergeCell ref="A173:B173"/>
    <mergeCell ref="C173:D173"/>
    <mergeCell ref="E173:I173"/>
    <mergeCell ref="J173:M173"/>
    <mergeCell ref="A178:B178"/>
    <mergeCell ref="C178:D178"/>
    <mergeCell ref="E178:I178"/>
    <mergeCell ref="J178:M178"/>
    <mergeCell ref="A179:B179"/>
    <mergeCell ref="C179:D179"/>
    <mergeCell ref="E179:I179"/>
    <mergeCell ref="J179:M179"/>
    <mergeCell ref="A176:B176"/>
    <mergeCell ref="C176:D176"/>
    <mergeCell ref="E176:I176"/>
    <mergeCell ref="J176:M176"/>
    <mergeCell ref="A177:B177"/>
    <mergeCell ref="C177:D177"/>
    <mergeCell ref="E177:I177"/>
    <mergeCell ref="J177:M177"/>
    <mergeCell ref="A182:B182"/>
    <mergeCell ref="C182:D182"/>
    <mergeCell ref="E182:I182"/>
    <mergeCell ref="J182:M182"/>
    <mergeCell ref="A183:B183"/>
    <mergeCell ref="C183:D183"/>
    <mergeCell ref="E183:I183"/>
    <mergeCell ref="J183:M183"/>
    <mergeCell ref="A180:B180"/>
    <mergeCell ref="C180:D180"/>
    <mergeCell ref="E180:I180"/>
    <mergeCell ref="J180:M180"/>
    <mergeCell ref="A181:B181"/>
    <mergeCell ref="C181:D181"/>
    <mergeCell ref="E181:I181"/>
    <mergeCell ref="J181:M181"/>
    <mergeCell ref="A186:B186"/>
    <mergeCell ref="C186:D186"/>
    <mergeCell ref="E186:I186"/>
    <mergeCell ref="J186:M186"/>
    <mergeCell ref="A187:B187"/>
    <mergeCell ref="C187:D187"/>
    <mergeCell ref="E187:I187"/>
    <mergeCell ref="J187:M187"/>
    <mergeCell ref="A184:B184"/>
    <mergeCell ref="C184:D184"/>
    <mergeCell ref="E184:I184"/>
    <mergeCell ref="J184:M184"/>
    <mergeCell ref="A185:B185"/>
    <mergeCell ref="C185:D185"/>
    <mergeCell ref="E185:I185"/>
    <mergeCell ref="J185:M185"/>
    <mergeCell ref="A190:B190"/>
    <mergeCell ref="C190:D190"/>
    <mergeCell ref="E190:I190"/>
    <mergeCell ref="J190:M190"/>
    <mergeCell ref="A191:B191"/>
    <mergeCell ref="C191:D191"/>
    <mergeCell ref="E191:I191"/>
    <mergeCell ref="J191:M191"/>
    <mergeCell ref="A188:B188"/>
    <mergeCell ref="C188:D188"/>
    <mergeCell ref="E188:I188"/>
    <mergeCell ref="J188:M188"/>
    <mergeCell ref="A189:B189"/>
    <mergeCell ref="C189:D189"/>
    <mergeCell ref="E189:I189"/>
    <mergeCell ref="J189:M189"/>
    <mergeCell ref="A194:B194"/>
    <mergeCell ref="C194:D194"/>
    <mergeCell ref="E194:I194"/>
    <mergeCell ref="J194:M194"/>
    <mergeCell ref="A195:B195"/>
    <mergeCell ref="C195:D195"/>
    <mergeCell ref="E195:I195"/>
    <mergeCell ref="J195:M195"/>
    <mergeCell ref="A192:B192"/>
    <mergeCell ref="C192:D192"/>
    <mergeCell ref="E192:I192"/>
    <mergeCell ref="J192:M192"/>
    <mergeCell ref="A193:B193"/>
    <mergeCell ref="C193:D193"/>
    <mergeCell ref="E193:I193"/>
    <mergeCell ref="J193:M193"/>
  </mergeCells>
  <pageMargins left="0.7" right="0.7" top="0.75" bottom="0.75" header="0.3" footer="0.3"/>
  <pageSetup orientation="portrait" horizont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dimension ref="A1:N198"/>
  <sheetViews>
    <sheetView showGridLines="0" zoomScaleNormal="100" workbookViewId="0">
      <selection activeCell="E18" sqref="E18:I18"/>
    </sheetView>
  </sheetViews>
  <sheetFormatPr defaultColWidth="9.109375" defaultRowHeight="13.2"/>
  <cols>
    <col min="1" max="1" width="25" customWidth="1"/>
    <col min="3" max="3" width="11.88671875" customWidth="1"/>
    <col min="4" max="4" width="15" customWidth="1"/>
  </cols>
  <sheetData>
    <row r="1" spans="1:14">
      <c r="A1" s="1505">
        <f>'1) Data Entry'!Relay_Location</f>
        <v>0</v>
      </c>
      <c r="B1" s="1459"/>
      <c r="C1" s="1460"/>
      <c r="D1" s="364"/>
      <c r="E1" s="1217">
        <f>'1) Data Entry'!K3</f>
        <v>0</v>
      </c>
      <c r="G1" s="1505">
        <f>'1) Data Entry'!Remote_Location</f>
        <v>0</v>
      </c>
      <c r="H1" s="1459"/>
      <c r="I1" s="1460"/>
      <c r="L1" s="587" t="s">
        <v>3</v>
      </c>
      <c r="M1" s="1218">
        <f>'1) Data Entry'!M1</f>
        <v>0</v>
      </c>
      <c r="N1" s="21"/>
    </row>
    <row r="2" spans="1:14">
      <c r="A2" s="2200" t="s">
        <v>4</v>
      </c>
      <c r="B2" s="2200"/>
      <c r="C2" s="2200"/>
      <c r="D2" s="28"/>
      <c r="E2" s="579" t="s">
        <v>5</v>
      </c>
      <c r="F2" s="26"/>
      <c r="G2" s="2200" t="s">
        <v>6</v>
      </c>
      <c r="H2" s="2200"/>
      <c r="I2" s="2200"/>
      <c r="J2" s="1123"/>
      <c r="K2" s="26"/>
      <c r="L2" s="587" t="s">
        <v>7</v>
      </c>
      <c r="M2" s="1219">
        <f>'1) Data Entry'!Calc_By</f>
        <v>0</v>
      </c>
      <c r="N2" s="30"/>
    </row>
    <row r="3" spans="1:14">
      <c r="A3" s="896"/>
      <c r="B3" s="25"/>
      <c r="C3" s="28"/>
      <c r="D3" s="28"/>
      <c r="E3" s="26"/>
      <c r="F3" s="26"/>
      <c r="G3" s="25"/>
      <c r="H3" s="28"/>
      <c r="I3" s="28"/>
      <c r="J3" s="1123"/>
      <c r="K3" s="26"/>
      <c r="L3" s="587" t="s">
        <v>8</v>
      </c>
      <c r="M3" s="1219">
        <f>'1) Data Entry'!Checked_By</f>
        <v>0</v>
      </c>
      <c r="N3" s="30"/>
    </row>
    <row r="4" spans="1:14" ht="12.75" customHeight="1">
      <c r="A4" s="2218" t="s">
        <v>2124</v>
      </c>
      <c r="B4" s="2218"/>
      <c r="C4" s="2218"/>
      <c r="D4" s="2218"/>
      <c r="E4" s="2218"/>
      <c r="F4" s="2218"/>
      <c r="G4" s="2218"/>
      <c r="H4" s="2218"/>
      <c r="I4" s="2218"/>
      <c r="J4" s="2218"/>
      <c r="K4" s="2218"/>
      <c r="L4" s="2218"/>
      <c r="M4" s="2218"/>
      <c r="N4" s="30"/>
    </row>
    <row r="5" spans="1:14" ht="20.25" customHeight="1">
      <c r="A5" s="2218"/>
      <c r="B5" s="2218"/>
      <c r="C5" s="2218"/>
      <c r="D5" s="2218"/>
      <c r="E5" s="2218"/>
      <c r="F5" s="2218"/>
      <c r="G5" s="2218"/>
      <c r="H5" s="2218"/>
      <c r="I5" s="2218"/>
      <c r="J5" s="2218"/>
      <c r="K5" s="2218"/>
      <c r="L5" s="2218"/>
      <c r="M5" s="2218"/>
      <c r="N5" s="30"/>
    </row>
    <row r="6" spans="1:14" ht="42" customHeight="1" thickBot="1">
      <c r="A6" s="2219"/>
      <c r="B6" s="2219"/>
      <c r="C6" s="2219"/>
      <c r="D6" s="2219"/>
      <c r="E6" s="2219"/>
      <c r="F6" s="2219"/>
      <c r="G6" s="2219"/>
      <c r="H6" s="2219"/>
      <c r="I6" s="2219"/>
      <c r="J6" s="2219"/>
      <c r="K6" s="2219"/>
      <c r="L6" s="2219"/>
      <c r="M6" s="2219"/>
      <c r="N6" s="30"/>
    </row>
    <row r="7" spans="1:14" ht="13.8" thickBot="1">
      <c r="A7" s="2193" t="s">
        <v>1655</v>
      </c>
      <c r="B7" s="2194"/>
      <c r="C7" s="2195" t="s">
        <v>1656</v>
      </c>
      <c r="D7" s="2195"/>
      <c r="E7" s="2201" t="s">
        <v>1657</v>
      </c>
      <c r="F7" s="2202"/>
      <c r="G7" s="2202"/>
      <c r="H7" s="2202"/>
      <c r="I7" s="2203"/>
      <c r="J7" s="2195" t="s">
        <v>1658</v>
      </c>
      <c r="K7" s="2195"/>
      <c r="L7" s="2195"/>
      <c r="M7" s="2194"/>
    </row>
    <row r="8" spans="1:14">
      <c r="A8" s="2196" t="s">
        <v>1659</v>
      </c>
      <c r="B8" s="2197"/>
      <c r="C8" s="2198" t="str">
        <f>MID('1) Data Entry'!G3&amp;","&amp;'1) Data Entry'!E16&amp;","&amp;'1) Data Entry'!M3&amp;","&amp;'1) Data Entry'!K3,1,39)</f>
        <v>,,,</v>
      </c>
      <c r="D8" s="2199"/>
      <c r="E8" s="2204" t="s">
        <v>1660</v>
      </c>
      <c r="F8" s="2205"/>
      <c r="G8" s="2205"/>
      <c r="H8" s="2205"/>
      <c r="I8" s="2206"/>
      <c r="J8" s="2207"/>
      <c r="K8" s="2207"/>
      <c r="L8" s="2207"/>
      <c r="M8" s="2197"/>
    </row>
    <row r="9" spans="1:14">
      <c r="A9" s="2191" t="s">
        <v>367</v>
      </c>
      <c r="B9" s="2187"/>
      <c r="C9" s="2186">
        <f ca="1">CTR/5</f>
        <v>0</v>
      </c>
      <c r="D9" s="2186"/>
      <c r="E9" s="2183" t="s">
        <v>2081</v>
      </c>
      <c r="F9" s="2184"/>
      <c r="G9" s="2184"/>
      <c r="H9" s="2184"/>
      <c r="I9" s="2185"/>
      <c r="J9" s="2186" t="s">
        <v>2082</v>
      </c>
      <c r="K9" s="2186"/>
      <c r="L9" s="2186"/>
      <c r="M9" s="2187"/>
    </row>
    <row r="10" spans="1:14">
      <c r="A10" s="2191" t="s">
        <v>2125</v>
      </c>
      <c r="B10" s="2187"/>
      <c r="C10" s="2209">
        <f>Remote_CTR_87L/5</f>
        <v>0</v>
      </c>
      <c r="D10" s="2209"/>
      <c r="E10" s="2183" t="s">
        <v>2126</v>
      </c>
      <c r="F10" s="2184"/>
      <c r="G10" s="2184"/>
      <c r="H10" s="2184"/>
      <c r="I10" s="2185"/>
      <c r="J10" s="2186" t="s">
        <v>2127</v>
      </c>
      <c r="K10" s="2186"/>
      <c r="L10" s="2186"/>
      <c r="M10" s="2187"/>
    </row>
    <row r="11" spans="1:14">
      <c r="A11" s="2191" t="s">
        <v>2128</v>
      </c>
      <c r="B11" s="2187"/>
      <c r="C11" s="2209">
        <f>Remote_CTR_87L/5</f>
        <v>0</v>
      </c>
      <c r="D11" s="2209"/>
      <c r="E11" s="2183" t="s">
        <v>2129</v>
      </c>
      <c r="F11" s="2184"/>
      <c r="G11" s="2184"/>
      <c r="H11" s="2184"/>
      <c r="I11" s="2185"/>
      <c r="J11" s="2186" t="s">
        <v>2130</v>
      </c>
      <c r="K11" s="2186"/>
      <c r="L11" s="2186"/>
      <c r="M11" s="2187"/>
      <c r="N11" s="670" t="s">
        <v>2131</v>
      </c>
    </row>
    <row r="12" spans="1:14">
      <c r="A12" s="2191" t="s">
        <v>2061</v>
      </c>
      <c r="B12" s="2187"/>
      <c r="C12" s="2208" t="e">
        <f ca="1">_87LPP_311L</f>
        <v>#DIV/0!</v>
      </c>
      <c r="D12" s="2208"/>
      <c r="E12" s="2183" t="s">
        <v>2132</v>
      </c>
      <c r="F12" s="2184"/>
      <c r="G12" s="2184"/>
      <c r="H12" s="2184"/>
      <c r="I12" s="2185"/>
      <c r="J12" s="2186" t="s">
        <v>2063</v>
      </c>
      <c r="K12" s="2186"/>
      <c r="L12" s="2186"/>
      <c r="M12" s="2187"/>
    </row>
    <row r="13" spans="1:14">
      <c r="A13" s="2191" t="s">
        <v>2133</v>
      </c>
      <c r="B13" s="2187"/>
      <c r="C13" s="2208" t="e">
        <f ca="1">_87L2P</f>
        <v>#DIV/0!</v>
      </c>
      <c r="D13" s="2208"/>
      <c r="E13" s="2183" t="s">
        <v>2134</v>
      </c>
      <c r="F13" s="2184"/>
      <c r="G13" s="2184"/>
      <c r="H13" s="2184"/>
      <c r="I13" s="2185"/>
      <c r="J13" s="2186" t="s">
        <v>2066</v>
      </c>
      <c r="K13" s="2186"/>
      <c r="L13" s="2186"/>
      <c r="M13" s="2187"/>
    </row>
    <row r="14" spans="1:14">
      <c r="A14" s="2191" t="s">
        <v>2067</v>
      </c>
      <c r="B14" s="2187"/>
      <c r="C14" s="2208" t="e">
        <f ca="1">_87LGP_311L</f>
        <v>#DIV/0!</v>
      </c>
      <c r="D14" s="2208"/>
      <c r="E14" s="2183" t="s">
        <v>2135</v>
      </c>
      <c r="F14" s="2184"/>
      <c r="G14" s="2184"/>
      <c r="H14" s="2184"/>
      <c r="I14" s="2185"/>
      <c r="J14" s="2186" t="s">
        <v>2069</v>
      </c>
      <c r="K14" s="2186"/>
      <c r="L14" s="2186"/>
      <c r="M14" s="2187"/>
    </row>
    <row r="15" spans="1:14" s="692" customFormat="1">
      <c r="A15" s="2236" t="s">
        <v>2123</v>
      </c>
      <c r="B15" s="2237"/>
      <c r="C15" s="2238">
        <f>_CTRX/5</f>
        <v>0</v>
      </c>
      <c r="D15" s="2238"/>
      <c r="E15" s="2239" t="s">
        <v>2136</v>
      </c>
      <c r="F15" s="2240"/>
      <c r="G15" s="2240"/>
      <c r="H15" s="2240"/>
      <c r="I15" s="2241"/>
      <c r="J15" s="2238" t="s">
        <v>2137</v>
      </c>
      <c r="K15" s="2238"/>
      <c r="L15" s="2238"/>
      <c r="M15" s="2237"/>
    </row>
    <row r="16" spans="1:14">
      <c r="A16" s="2191" t="s">
        <v>369</v>
      </c>
      <c r="B16" s="2187"/>
      <c r="C16" s="2186">
        <f ca="1">PTR</f>
        <v>0</v>
      </c>
      <c r="D16" s="2186"/>
      <c r="E16" s="2183" t="s">
        <v>2086</v>
      </c>
      <c r="F16" s="2184"/>
      <c r="G16" s="2184"/>
      <c r="H16" s="2184"/>
      <c r="I16" s="2185"/>
      <c r="J16" s="2186" t="s">
        <v>2087</v>
      </c>
      <c r="K16" s="2186"/>
      <c r="L16" s="2186"/>
      <c r="M16" s="2187"/>
    </row>
    <row r="17" spans="1:13">
      <c r="A17" s="2191" t="s">
        <v>2088</v>
      </c>
      <c r="B17" s="2187"/>
      <c r="C17" s="2209">
        <f>_VAZR</f>
        <v>0</v>
      </c>
      <c r="D17" s="2186"/>
      <c r="E17" s="2183" t="s">
        <v>2089</v>
      </c>
      <c r="F17" s="2184"/>
      <c r="G17" s="2184"/>
      <c r="H17" s="2184"/>
      <c r="I17" s="2185"/>
      <c r="J17" s="2186" t="s">
        <v>2090</v>
      </c>
      <c r="K17" s="2186"/>
      <c r="L17" s="2186"/>
      <c r="M17" s="2187"/>
    </row>
    <row r="18" spans="1:13">
      <c r="A18" s="2191" t="s">
        <v>2091</v>
      </c>
      <c r="B18" s="2187"/>
      <c r="C18" s="2208" t="e">
        <f ca="1">'1) Data Entry'!E16*1000/(PTR*SQRT(3))</f>
        <v>#DIV/0!</v>
      </c>
      <c r="D18" s="2208"/>
      <c r="E18" s="2183" t="s">
        <v>2092</v>
      </c>
      <c r="F18" s="2184"/>
      <c r="G18" s="2184"/>
      <c r="H18" s="2184"/>
      <c r="I18" s="2185"/>
      <c r="J18" s="2186" t="s">
        <v>2093</v>
      </c>
      <c r="K18" s="2186"/>
      <c r="L18" s="2186"/>
      <c r="M18" s="2187"/>
    </row>
    <row r="19" spans="1:13">
      <c r="A19" s="2191" t="s">
        <v>1025</v>
      </c>
      <c r="B19" s="2187"/>
      <c r="C19" s="2186" t="e">
        <f ca="1">_Z1MAG</f>
        <v>#DIV/0!</v>
      </c>
      <c r="D19" s="2186"/>
      <c r="E19" s="2183" t="s">
        <v>1679</v>
      </c>
      <c r="F19" s="2184"/>
      <c r="G19" s="2184"/>
      <c r="H19" s="2184"/>
      <c r="I19" s="2185"/>
      <c r="J19" s="2186" t="s">
        <v>1680</v>
      </c>
      <c r="K19" s="2186"/>
      <c r="L19" s="2186"/>
      <c r="M19" s="2187"/>
    </row>
    <row r="20" spans="1:13">
      <c r="A20" s="2191" t="s">
        <v>1027</v>
      </c>
      <c r="B20" s="2187"/>
      <c r="C20" s="2186" t="e">
        <f>_Z1ANG</f>
        <v>#DIV/0!</v>
      </c>
      <c r="D20" s="2186"/>
      <c r="E20" s="2183" t="s">
        <v>1681</v>
      </c>
      <c r="F20" s="2184"/>
      <c r="G20" s="2184"/>
      <c r="H20" s="2184"/>
      <c r="I20" s="2185"/>
      <c r="J20" s="2186" t="s">
        <v>1682</v>
      </c>
      <c r="K20" s="2186"/>
      <c r="L20" s="2186"/>
      <c r="M20" s="2187"/>
    </row>
    <row r="21" spans="1:13">
      <c r="A21" s="2191" t="s">
        <v>1049</v>
      </c>
      <c r="B21" s="2187"/>
      <c r="C21" s="2186" t="e">
        <f ca="1">_Z0MAG</f>
        <v>#DIV/0!</v>
      </c>
      <c r="D21" s="2186"/>
      <c r="E21" s="2183" t="s">
        <v>1683</v>
      </c>
      <c r="F21" s="2184"/>
      <c r="G21" s="2184"/>
      <c r="H21" s="2184"/>
      <c r="I21" s="2185"/>
      <c r="J21" s="2186" t="s">
        <v>1684</v>
      </c>
      <c r="K21" s="2186"/>
      <c r="L21" s="2186"/>
      <c r="M21" s="2187"/>
    </row>
    <row r="22" spans="1:13">
      <c r="A22" s="2191" t="s">
        <v>1050</v>
      </c>
      <c r="B22" s="2187"/>
      <c r="C22" s="2186" t="e">
        <f>_Z0ANG</f>
        <v>#DIV/0!</v>
      </c>
      <c r="D22" s="2186"/>
      <c r="E22" s="2183" t="s">
        <v>1685</v>
      </c>
      <c r="F22" s="2184"/>
      <c r="G22" s="2184"/>
      <c r="H22" s="2184"/>
      <c r="I22" s="2185"/>
      <c r="J22" s="2186" t="s">
        <v>1686</v>
      </c>
      <c r="K22" s="2186"/>
      <c r="L22" s="2186"/>
      <c r="M22" s="2187"/>
    </row>
    <row r="23" spans="1:13">
      <c r="A23" s="2191" t="s">
        <v>387</v>
      </c>
      <c r="B23" s="2187"/>
      <c r="C23" s="2208">
        <f>'1) Data Entry'!E59</f>
        <v>0</v>
      </c>
      <c r="D23" s="2186"/>
      <c r="E23" s="2183" t="s">
        <v>1687</v>
      </c>
      <c r="F23" s="2184"/>
      <c r="G23" s="2184"/>
      <c r="H23" s="2184"/>
      <c r="I23" s="2185"/>
      <c r="J23" s="2186" t="s">
        <v>714</v>
      </c>
      <c r="K23" s="2186"/>
      <c r="L23" s="2186"/>
      <c r="M23" s="2187"/>
    </row>
    <row r="24" spans="1:13">
      <c r="A24" s="2191" t="s">
        <v>2094</v>
      </c>
      <c r="B24" s="2187"/>
      <c r="C24" s="2210">
        <v>4</v>
      </c>
      <c r="D24" s="2211"/>
      <c r="E24" s="2183" t="s">
        <v>1689</v>
      </c>
      <c r="F24" s="2184"/>
      <c r="G24" s="2184"/>
      <c r="H24" s="2184"/>
      <c r="I24" s="2185"/>
      <c r="J24" s="2186" t="s">
        <v>1690</v>
      </c>
      <c r="K24" s="2186"/>
      <c r="L24" s="2186"/>
      <c r="M24" s="2187"/>
    </row>
    <row r="25" spans="1:13">
      <c r="A25" s="2191" t="s">
        <v>1100</v>
      </c>
      <c r="B25" s="2187"/>
      <c r="C25" s="2208" t="e">
        <f ca="1">'7) Relay Calc'!H51</f>
        <v>#DIV/0!</v>
      </c>
      <c r="D25" s="2186"/>
      <c r="E25" s="2183" t="s">
        <v>2095</v>
      </c>
      <c r="F25" s="2184"/>
      <c r="G25" s="2184"/>
      <c r="H25" s="2184"/>
      <c r="I25" s="2185"/>
      <c r="J25" s="2186" t="s">
        <v>1701</v>
      </c>
      <c r="K25" s="2186"/>
      <c r="L25" s="2186"/>
      <c r="M25" s="2187"/>
    </row>
    <row r="26" spans="1:13">
      <c r="A26" s="2191" t="s">
        <v>1103</v>
      </c>
      <c r="B26" s="2187"/>
      <c r="C26" s="2208" t="e">
        <f ca="1">'7) Relay Calc'!H52</f>
        <v>#DIV/0!</v>
      </c>
      <c r="D26" s="2186"/>
      <c r="E26" s="2183" t="s">
        <v>2096</v>
      </c>
      <c r="F26" s="2184"/>
      <c r="G26" s="2184"/>
      <c r="H26" s="2184"/>
      <c r="I26" s="2185"/>
      <c r="J26" s="2186" t="s">
        <v>1704</v>
      </c>
      <c r="K26" s="2186"/>
      <c r="L26" s="2186"/>
      <c r="M26" s="2187"/>
    </row>
    <row r="27" spans="1:13">
      <c r="A27" s="2191" t="s">
        <v>1106</v>
      </c>
      <c r="B27" s="2187"/>
      <c r="C27" s="2208" t="e">
        <f ca="1">'7) Relay Calc'!H53</f>
        <v>#DIV/0!</v>
      </c>
      <c r="D27" s="2186"/>
      <c r="E27" s="2183" t="s">
        <v>2097</v>
      </c>
      <c r="F27" s="2184"/>
      <c r="G27" s="2184"/>
      <c r="H27" s="2184"/>
      <c r="I27" s="2185"/>
      <c r="J27" s="2186" t="s">
        <v>1707</v>
      </c>
      <c r="K27" s="2186"/>
      <c r="L27" s="2186"/>
      <c r="M27" s="2187"/>
    </row>
    <row r="28" spans="1:13">
      <c r="A28" s="2191" t="s">
        <v>1109</v>
      </c>
      <c r="B28" s="2187"/>
      <c r="C28" s="2208" t="e">
        <f ca="1">'7) Relay Calc'!H54</f>
        <v>#DIV/0!</v>
      </c>
      <c r="D28" s="2186"/>
      <c r="E28" s="2183" t="s">
        <v>2098</v>
      </c>
      <c r="F28" s="2184"/>
      <c r="G28" s="2184"/>
      <c r="H28" s="2184"/>
      <c r="I28" s="2185"/>
      <c r="J28" s="2186" t="s">
        <v>1710</v>
      </c>
      <c r="K28" s="2186"/>
      <c r="L28" s="2186"/>
      <c r="M28" s="2187"/>
    </row>
    <row r="29" spans="1:13">
      <c r="A29" s="2191" t="s">
        <v>570</v>
      </c>
      <c r="B29" s="2187"/>
      <c r="C29" s="2212" t="e">
        <f ca="1">_50PP1</f>
        <v>#DIV/0!</v>
      </c>
      <c r="D29" s="2213"/>
      <c r="E29" s="2183" t="s">
        <v>2099</v>
      </c>
      <c r="F29" s="2184"/>
      <c r="G29" s="2184"/>
      <c r="H29" s="2184"/>
      <c r="I29" s="2185"/>
      <c r="J29" s="2186" t="s">
        <v>1713</v>
      </c>
      <c r="K29" s="2186"/>
      <c r="L29" s="2186"/>
      <c r="M29" s="2187"/>
    </row>
    <row r="30" spans="1:13">
      <c r="A30" s="2191" t="s">
        <v>1691</v>
      </c>
      <c r="B30" s="2187"/>
      <c r="C30" s="2210">
        <v>4</v>
      </c>
      <c r="D30" s="2211"/>
      <c r="E30" s="2183" t="s">
        <v>1692</v>
      </c>
      <c r="F30" s="2184"/>
      <c r="G30" s="2184"/>
      <c r="H30" s="2184"/>
      <c r="I30" s="2185"/>
      <c r="J30" s="2186" t="s">
        <v>1693</v>
      </c>
      <c r="K30" s="2186"/>
      <c r="L30" s="2186"/>
      <c r="M30" s="2187"/>
    </row>
    <row r="31" spans="1:13">
      <c r="A31" s="2191" t="s">
        <v>1114</v>
      </c>
      <c r="B31" s="2187"/>
      <c r="C31" s="2208" t="e">
        <f ca="1">'7) Relay Calc'!H57</f>
        <v>#DIV/0!</v>
      </c>
      <c r="D31" s="2186"/>
      <c r="E31" s="2183" t="s">
        <v>1717</v>
      </c>
      <c r="F31" s="2184"/>
      <c r="G31" s="2184"/>
      <c r="H31" s="2184"/>
      <c r="I31" s="2185"/>
      <c r="J31" s="2186" t="s">
        <v>1718</v>
      </c>
      <c r="K31" s="2186"/>
      <c r="L31" s="2186"/>
      <c r="M31" s="2187"/>
    </row>
    <row r="32" spans="1:13">
      <c r="A32" s="2191" t="s">
        <v>1116</v>
      </c>
      <c r="B32" s="2187"/>
      <c r="C32" s="2208" t="e">
        <f ca="1">'7) Relay Calc'!H58</f>
        <v>#DIV/0!</v>
      </c>
      <c r="D32" s="2186"/>
      <c r="E32" s="2183" t="s">
        <v>1719</v>
      </c>
      <c r="F32" s="2184"/>
      <c r="G32" s="2184"/>
      <c r="H32" s="2184"/>
      <c r="I32" s="2185"/>
      <c r="J32" s="2186" t="s">
        <v>1720</v>
      </c>
      <c r="K32" s="2186"/>
      <c r="L32" s="2186"/>
      <c r="M32" s="2187"/>
    </row>
    <row r="33" spans="1:13">
      <c r="A33" s="2191" t="s">
        <v>1118</v>
      </c>
      <c r="B33" s="2187"/>
      <c r="C33" s="2208" t="e">
        <f ca="1">'7) Relay Calc'!H59</f>
        <v>#DIV/0!</v>
      </c>
      <c r="D33" s="2186"/>
      <c r="E33" s="2183" t="s">
        <v>1721</v>
      </c>
      <c r="F33" s="2184"/>
      <c r="G33" s="2184"/>
      <c r="H33" s="2184"/>
      <c r="I33" s="2185"/>
      <c r="J33" s="2186" t="s">
        <v>1722</v>
      </c>
      <c r="K33" s="2186"/>
      <c r="L33" s="2186"/>
      <c r="M33" s="2187"/>
    </row>
    <row r="34" spans="1:13">
      <c r="A34" s="2191" t="s">
        <v>1120</v>
      </c>
      <c r="B34" s="2187"/>
      <c r="C34" s="2208" t="e">
        <f ca="1">'7) Relay Calc'!H60</f>
        <v>#DIV/0!</v>
      </c>
      <c r="D34" s="2186"/>
      <c r="E34" s="2183" t="s">
        <v>1723</v>
      </c>
      <c r="F34" s="2184"/>
      <c r="G34" s="2184"/>
      <c r="H34" s="2184"/>
      <c r="I34" s="2185"/>
      <c r="J34" s="2186" t="s">
        <v>1724</v>
      </c>
      <c r="K34" s="2186"/>
      <c r="L34" s="2186"/>
      <c r="M34" s="2187"/>
    </row>
    <row r="35" spans="1:13">
      <c r="A35" s="2191" t="s">
        <v>1134</v>
      </c>
      <c r="B35" s="2187"/>
      <c r="C35" s="2186" t="e">
        <f ca="1">'7) Relay Calc'!H72</f>
        <v>#DIV/0!</v>
      </c>
      <c r="D35" s="2186"/>
      <c r="E35" s="2183" t="s">
        <v>1694</v>
      </c>
      <c r="F35" s="2184"/>
      <c r="G35" s="2184"/>
      <c r="H35" s="2184"/>
      <c r="I35" s="2185"/>
      <c r="J35" s="2186" t="s">
        <v>1695</v>
      </c>
      <c r="K35" s="2186"/>
      <c r="L35" s="2186"/>
      <c r="M35" s="2187"/>
    </row>
    <row r="36" spans="1:13">
      <c r="A36" s="2191" t="s">
        <v>1727</v>
      </c>
      <c r="B36" s="2187"/>
      <c r="C36" s="2208" t="e">
        <f ca="1">'7) Relay Calc'!D78</f>
        <v>#DIV/0!</v>
      </c>
      <c r="D36" s="2186"/>
      <c r="E36" s="2183" t="s">
        <v>1728</v>
      </c>
      <c r="F36" s="2184"/>
      <c r="G36" s="2184"/>
      <c r="H36" s="2184"/>
      <c r="I36" s="2185"/>
      <c r="J36" s="2186" t="s">
        <v>1729</v>
      </c>
      <c r="K36" s="2186"/>
      <c r="L36" s="2186"/>
      <c r="M36" s="2187"/>
    </row>
    <row r="37" spans="1:13">
      <c r="A37" s="2191" t="s">
        <v>1140</v>
      </c>
      <c r="B37" s="2187"/>
      <c r="C37" s="2208" t="e">
        <f ca="1">'7) Relay Calc'!L78</f>
        <v>#DIV/0!</v>
      </c>
      <c r="D37" s="2186"/>
      <c r="E37" s="2183" t="s">
        <v>1730</v>
      </c>
      <c r="F37" s="2184"/>
      <c r="G37" s="2184"/>
      <c r="H37" s="2184"/>
      <c r="I37" s="2185"/>
      <c r="J37" s="2186" t="s">
        <v>1729</v>
      </c>
      <c r="K37" s="2186"/>
      <c r="L37" s="2186"/>
      <c r="M37" s="2187"/>
    </row>
    <row r="38" spans="1:13">
      <c r="A38" s="2191" t="s">
        <v>1731</v>
      </c>
      <c r="B38" s="2187"/>
      <c r="C38" s="2208" t="e">
        <f ca="1">'7) Relay Calc'!D79</f>
        <v>#DIV/0!</v>
      </c>
      <c r="D38" s="2186"/>
      <c r="E38" s="2183" t="s">
        <v>1732</v>
      </c>
      <c r="F38" s="2184"/>
      <c r="G38" s="2184"/>
      <c r="H38" s="2184"/>
      <c r="I38" s="2185"/>
      <c r="J38" s="2186" t="s">
        <v>1733</v>
      </c>
      <c r="K38" s="2186"/>
      <c r="L38" s="2186"/>
      <c r="M38" s="2187"/>
    </row>
    <row r="39" spans="1:13">
      <c r="A39" s="2191" t="s">
        <v>1142</v>
      </c>
      <c r="B39" s="2187"/>
      <c r="C39" s="2208" t="e">
        <f ca="1">'7) Relay Calc'!L79</f>
        <v>#DIV/0!</v>
      </c>
      <c r="D39" s="2186"/>
      <c r="E39" s="2183" t="s">
        <v>1734</v>
      </c>
      <c r="F39" s="2184"/>
      <c r="G39" s="2184"/>
      <c r="H39" s="2184"/>
      <c r="I39" s="2185"/>
      <c r="J39" s="2186" t="s">
        <v>1733</v>
      </c>
      <c r="K39" s="2186"/>
      <c r="L39" s="2186"/>
      <c r="M39" s="2187"/>
    </row>
    <row r="40" spans="1:13">
      <c r="A40" s="2191" t="s">
        <v>1735</v>
      </c>
      <c r="B40" s="2187"/>
      <c r="C40" s="2208" t="e">
        <f ca="1">'7) Relay Calc'!D81</f>
        <v>#DIV/0!</v>
      </c>
      <c r="D40" s="2186"/>
      <c r="E40" s="2183" t="s">
        <v>1736</v>
      </c>
      <c r="F40" s="2184"/>
      <c r="G40" s="2184"/>
      <c r="H40" s="2184"/>
      <c r="I40" s="2185"/>
      <c r="J40" s="2186" t="s">
        <v>1737</v>
      </c>
      <c r="K40" s="2186"/>
      <c r="L40" s="2186"/>
      <c r="M40" s="2187"/>
    </row>
    <row r="41" spans="1:13">
      <c r="A41" s="2191" t="s">
        <v>1148</v>
      </c>
      <c r="B41" s="2187"/>
      <c r="C41" s="2208" t="e">
        <f ca="1">'7) Relay Calc'!L81</f>
        <v>#DIV/0!</v>
      </c>
      <c r="D41" s="2186"/>
      <c r="E41" s="2183" t="s">
        <v>1738</v>
      </c>
      <c r="F41" s="2184"/>
      <c r="G41" s="2184"/>
      <c r="H41" s="2184"/>
      <c r="I41" s="2185"/>
      <c r="J41" s="2186" t="s">
        <v>1737</v>
      </c>
      <c r="K41" s="2186"/>
      <c r="L41" s="2186"/>
      <c r="M41" s="2187"/>
    </row>
    <row r="42" spans="1:13">
      <c r="A42" s="2191" t="s">
        <v>1064</v>
      </c>
      <c r="B42" s="2187"/>
      <c r="C42" s="2186" t="e">
        <f ca="1">ROUND('7) Relay Calc'!D37,3)</f>
        <v>#DIV/0!</v>
      </c>
      <c r="D42" s="2186"/>
      <c r="E42" s="2183" t="s">
        <v>1744</v>
      </c>
      <c r="F42" s="2184"/>
      <c r="G42" s="2184"/>
      <c r="H42" s="2184"/>
      <c r="I42" s="2185"/>
      <c r="J42" s="2186" t="s">
        <v>1745</v>
      </c>
      <c r="K42" s="2186"/>
      <c r="L42" s="2186"/>
      <c r="M42" s="2187"/>
    </row>
    <row r="43" spans="1:13">
      <c r="A43" s="2191" t="s">
        <v>1066</v>
      </c>
      <c r="B43" s="2187"/>
      <c r="C43" s="2208" t="e">
        <f ca="1">'7) Relay Calc'!J37</f>
        <v>#DIV/0!</v>
      </c>
      <c r="D43" s="2208"/>
      <c r="E43" s="2183" t="s">
        <v>1746</v>
      </c>
      <c r="F43" s="2184"/>
      <c r="G43" s="2184"/>
      <c r="H43" s="2184"/>
      <c r="I43" s="2185"/>
      <c r="J43" s="2186" t="s">
        <v>1745</v>
      </c>
      <c r="K43" s="2186"/>
      <c r="L43" s="2186"/>
      <c r="M43" s="2187"/>
    </row>
    <row r="44" spans="1:13">
      <c r="A44" s="2191" t="s">
        <v>1714</v>
      </c>
      <c r="B44" s="2187"/>
      <c r="C44" s="2210">
        <v>50</v>
      </c>
      <c r="D44" s="2211"/>
      <c r="E44" s="2183" t="s">
        <v>1715</v>
      </c>
      <c r="F44" s="2184"/>
      <c r="G44" s="2184"/>
      <c r="H44" s="2184"/>
      <c r="I44" s="2185"/>
      <c r="J44" s="2186" t="s">
        <v>1716</v>
      </c>
      <c r="K44" s="2186"/>
      <c r="L44" s="2186"/>
      <c r="M44" s="2187"/>
    </row>
    <row r="45" spans="1:13">
      <c r="A45" s="2191" t="s">
        <v>1747</v>
      </c>
      <c r="B45" s="2187"/>
      <c r="C45" s="2210">
        <v>50</v>
      </c>
      <c r="D45" s="2211"/>
      <c r="E45" s="2183" t="s">
        <v>1748</v>
      </c>
      <c r="F45" s="2184"/>
      <c r="G45" s="2184"/>
      <c r="H45" s="2184"/>
      <c r="I45" s="2185"/>
      <c r="J45" s="2186" t="s">
        <v>1749</v>
      </c>
      <c r="K45" s="2186"/>
      <c r="L45" s="2186"/>
      <c r="M45" s="2187"/>
    </row>
    <row r="46" spans="1:13">
      <c r="A46" s="2191" t="s">
        <v>1750</v>
      </c>
      <c r="B46" s="2187"/>
      <c r="C46" s="2210">
        <v>0</v>
      </c>
      <c r="D46" s="2211"/>
      <c r="E46" s="2183" t="s">
        <v>1751</v>
      </c>
      <c r="F46" s="2184"/>
      <c r="G46" s="2184"/>
      <c r="H46" s="2184"/>
      <c r="I46" s="2185"/>
      <c r="J46" s="2186" t="s">
        <v>1752</v>
      </c>
      <c r="K46" s="2186"/>
      <c r="L46" s="2186"/>
      <c r="M46" s="2187"/>
    </row>
    <row r="47" spans="1:13">
      <c r="A47" s="2191" t="s">
        <v>1753</v>
      </c>
      <c r="B47" s="2187"/>
      <c r="C47" s="2210">
        <v>20</v>
      </c>
      <c r="D47" s="2211"/>
      <c r="E47" s="2183" t="s">
        <v>1754</v>
      </c>
      <c r="F47" s="2184"/>
      <c r="G47" s="2184"/>
      <c r="H47" s="2184"/>
      <c r="I47" s="2185"/>
      <c r="J47" s="2186" t="s">
        <v>1755</v>
      </c>
      <c r="K47" s="2186"/>
      <c r="L47" s="2186"/>
      <c r="M47" s="2187"/>
    </row>
    <row r="48" spans="1:13">
      <c r="A48" s="2191" t="s">
        <v>1756</v>
      </c>
      <c r="B48" s="2187"/>
      <c r="C48" s="2210">
        <v>20</v>
      </c>
      <c r="D48" s="2211"/>
      <c r="E48" s="2183" t="s">
        <v>1757</v>
      </c>
      <c r="F48" s="2184"/>
      <c r="G48" s="2184"/>
      <c r="H48" s="2184"/>
      <c r="I48" s="2185"/>
      <c r="J48" s="2186" t="s">
        <v>1758</v>
      </c>
      <c r="K48" s="2186"/>
      <c r="L48" s="2186"/>
      <c r="M48" s="2187"/>
    </row>
    <row r="49" spans="1:14" s="692" customFormat="1">
      <c r="A49" s="2236" t="s">
        <v>1398</v>
      </c>
      <c r="B49" s="2237"/>
      <c r="C49" s="2238" t="e">
        <f ca="1">_50P1P</f>
        <v>#DIV/0!</v>
      </c>
      <c r="D49" s="2238"/>
      <c r="E49" s="2239" t="s">
        <v>1771</v>
      </c>
      <c r="F49" s="2240"/>
      <c r="G49" s="2240"/>
      <c r="H49" s="2240"/>
      <c r="I49" s="2241"/>
      <c r="J49" s="2238" t="s">
        <v>1604</v>
      </c>
      <c r="K49" s="2238"/>
      <c r="L49" s="2238"/>
      <c r="M49" s="2237"/>
    </row>
    <row r="50" spans="1:14">
      <c r="A50" s="2191" t="s">
        <v>1778</v>
      </c>
      <c r="B50" s="2187"/>
      <c r="C50" s="2192" t="e">
        <f ca="1">_50P2P</f>
        <v>#DIV/0!</v>
      </c>
      <c r="D50" s="2192"/>
      <c r="E50" s="2183" t="s">
        <v>1779</v>
      </c>
      <c r="F50" s="2184"/>
      <c r="G50" s="2184"/>
      <c r="H50" s="2184"/>
      <c r="I50" s="2185"/>
      <c r="J50" s="2186" t="s">
        <v>1780</v>
      </c>
      <c r="K50" s="2186"/>
      <c r="L50" s="2186"/>
      <c r="M50" s="2187"/>
    </row>
    <row r="51" spans="1:14">
      <c r="A51" s="2191" t="s">
        <v>1424</v>
      </c>
      <c r="B51" s="2187"/>
      <c r="C51" s="2192" t="e">
        <f ca="1">'11) BF Fault Det'!AA26</f>
        <v>#DIV/0!</v>
      </c>
      <c r="D51" s="2192"/>
      <c r="E51" s="2183" t="s">
        <v>1781</v>
      </c>
      <c r="F51" s="2184"/>
      <c r="G51" s="2184"/>
      <c r="H51" s="2184"/>
      <c r="I51" s="2185"/>
      <c r="J51" s="2186" t="s">
        <v>2100</v>
      </c>
      <c r="K51" s="2186"/>
      <c r="L51" s="2186"/>
      <c r="M51" s="2187"/>
    </row>
    <row r="52" spans="1:14" s="692" customFormat="1">
      <c r="A52" s="2236" t="s">
        <v>1772</v>
      </c>
      <c r="B52" s="2237"/>
      <c r="C52" s="2238">
        <f>'10) SOTF'!Q45</f>
        <v>2</v>
      </c>
      <c r="D52" s="2238"/>
      <c r="E52" s="2239" t="s">
        <v>1773</v>
      </c>
      <c r="F52" s="2240"/>
      <c r="G52" s="2240"/>
      <c r="H52" s="2240"/>
      <c r="I52" s="2241"/>
      <c r="J52" s="2238" t="s">
        <v>1774</v>
      </c>
      <c r="K52" s="2238"/>
      <c r="L52" s="2238"/>
      <c r="M52" s="2237"/>
    </row>
    <row r="53" spans="1:14">
      <c r="A53" s="2191" t="s">
        <v>629</v>
      </c>
      <c r="B53" s="2187"/>
      <c r="C53" s="2186" t="e">
        <f ca="1">_50G2P</f>
        <v>#DIV/0!</v>
      </c>
      <c r="D53" s="2186"/>
      <c r="E53" s="2183" t="s">
        <v>1784</v>
      </c>
      <c r="F53" s="2184"/>
      <c r="G53" s="2184"/>
      <c r="H53" s="2184"/>
      <c r="I53" s="2185"/>
      <c r="J53" s="2186" t="s">
        <v>1785</v>
      </c>
      <c r="K53" s="2186"/>
      <c r="L53" s="2186"/>
      <c r="M53" s="2187"/>
    </row>
    <row r="54" spans="1:14">
      <c r="A54" s="2191" t="s">
        <v>637</v>
      </c>
      <c r="B54" s="2187"/>
      <c r="C54" s="2186">
        <f>_50G3P</f>
        <v>0.5</v>
      </c>
      <c r="D54" s="2186"/>
      <c r="E54" s="2183" t="s">
        <v>1786</v>
      </c>
      <c r="F54" s="2184"/>
      <c r="G54" s="2184"/>
      <c r="H54" s="2184"/>
      <c r="I54" s="2185"/>
      <c r="J54" s="2186" t="s">
        <v>1787</v>
      </c>
      <c r="K54" s="2186"/>
      <c r="L54" s="2186"/>
      <c r="M54" s="2187"/>
    </row>
    <row r="55" spans="1:14">
      <c r="A55" s="2191" t="s">
        <v>1371</v>
      </c>
      <c r="B55" s="2187"/>
      <c r="C55" s="2186" t="e">
        <f ca="1">_50G4P</f>
        <v>#DIV/0!</v>
      </c>
      <c r="D55" s="2186"/>
      <c r="E55" s="2183" t="s">
        <v>1788</v>
      </c>
      <c r="F55" s="2184"/>
      <c r="G55" s="2184"/>
      <c r="H55" s="2184"/>
      <c r="I55" s="2185"/>
      <c r="J55" s="2186" t="s">
        <v>1789</v>
      </c>
      <c r="K55" s="2186"/>
      <c r="L55" s="2186"/>
      <c r="M55" s="2187"/>
    </row>
    <row r="56" spans="1:14" ht="36" customHeight="1">
      <c r="A56" s="2191" t="s">
        <v>2101</v>
      </c>
      <c r="B56" s="2187"/>
      <c r="C56" s="2210">
        <v>0.25</v>
      </c>
      <c r="D56" s="2211"/>
      <c r="E56" s="2183" t="s">
        <v>2102</v>
      </c>
      <c r="F56" s="2184"/>
      <c r="G56" s="2184"/>
      <c r="H56" s="2184"/>
      <c r="I56" s="2185"/>
      <c r="J56" s="2243" t="s">
        <v>2103</v>
      </c>
      <c r="K56" s="2244"/>
      <c r="L56" s="2244"/>
      <c r="M56" s="2245"/>
      <c r="N56" s="694" t="s">
        <v>1383</v>
      </c>
    </row>
    <row r="57" spans="1:14">
      <c r="A57" s="2191" t="s">
        <v>1790</v>
      </c>
      <c r="B57" s="2187"/>
      <c r="C57" s="2210">
        <v>1</v>
      </c>
      <c r="D57" s="2211"/>
      <c r="E57" s="2183" t="s">
        <v>1791</v>
      </c>
      <c r="F57" s="2184"/>
      <c r="G57" s="2184"/>
      <c r="H57" s="2184"/>
      <c r="I57" s="2185"/>
      <c r="J57" s="2186" t="s">
        <v>1792</v>
      </c>
      <c r="K57" s="2186"/>
      <c r="L57" s="2186"/>
      <c r="M57" s="2187"/>
    </row>
    <row r="58" spans="1:14">
      <c r="A58" s="2191" t="s">
        <v>1381</v>
      </c>
      <c r="B58" s="2187"/>
      <c r="C58" s="2186" t="e">
        <f ca="1">_50Q4P</f>
        <v>#DIV/0!</v>
      </c>
      <c r="D58" s="2186"/>
      <c r="E58" s="2183" t="s">
        <v>1793</v>
      </c>
      <c r="F58" s="2184"/>
      <c r="G58" s="2184"/>
      <c r="H58" s="2184"/>
      <c r="I58" s="2185"/>
      <c r="J58" s="2186" t="s">
        <v>1794</v>
      </c>
      <c r="K58" s="2186"/>
      <c r="L58" s="2186"/>
      <c r="M58" s="2187"/>
    </row>
    <row r="59" spans="1:14" s="692" customFormat="1">
      <c r="A59" s="2236" t="s">
        <v>1362</v>
      </c>
      <c r="B59" s="2237"/>
      <c r="C59" s="2238" t="e">
        <f ca="1">_51PP</f>
        <v>#DIV/0!</v>
      </c>
      <c r="D59" s="2238"/>
      <c r="E59" s="2239" t="s">
        <v>2104</v>
      </c>
      <c r="F59" s="2240"/>
      <c r="G59" s="2240"/>
      <c r="H59" s="2240"/>
      <c r="I59" s="2241"/>
      <c r="J59" s="2238" t="s">
        <v>1783</v>
      </c>
      <c r="K59" s="2238"/>
      <c r="L59" s="2238"/>
      <c r="M59" s="2237"/>
    </row>
    <row r="60" spans="1:14">
      <c r="A60" s="2191" t="s">
        <v>2105</v>
      </c>
      <c r="B60" s="2187"/>
      <c r="C60" s="2192" t="e">
        <f ca="1">_51S1P</f>
        <v>#DIV/0!</v>
      </c>
      <c r="D60" s="2192"/>
      <c r="E60" s="2183" t="s">
        <v>2106</v>
      </c>
      <c r="F60" s="2184"/>
      <c r="G60" s="2184"/>
      <c r="H60" s="2184"/>
      <c r="I60" s="2185"/>
      <c r="J60" s="2186" t="s">
        <v>1797</v>
      </c>
      <c r="K60" s="2186"/>
      <c r="L60" s="2186"/>
      <c r="M60" s="2187"/>
    </row>
    <row r="61" spans="1:14">
      <c r="A61" s="2191" t="s">
        <v>2107</v>
      </c>
      <c r="B61" s="2187"/>
      <c r="C61" s="2208" t="str">
        <f>'8) LOP &amp; Ground TOC'!G75</f>
        <v>U2</v>
      </c>
      <c r="D61" s="2186"/>
      <c r="E61" s="2183" t="s">
        <v>2108</v>
      </c>
      <c r="F61" s="2184"/>
      <c r="G61" s="2184"/>
      <c r="H61" s="2184"/>
      <c r="I61" s="2185"/>
      <c r="J61" s="2186" t="s">
        <v>1800</v>
      </c>
      <c r="K61" s="2186"/>
      <c r="L61" s="2186"/>
      <c r="M61" s="2187"/>
    </row>
    <row r="62" spans="1:14">
      <c r="A62" s="2191" t="s">
        <v>2109</v>
      </c>
      <c r="B62" s="2187"/>
      <c r="C62" s="2186" t="e">
        <f ca="1">'8) LOP &amp; Ground TOC'!S74</f>
        <v>#DIV/0!</v>
      </c>
      <c r="D62" s="2186"/>
      <c r="E62" s="2183" t="s">
        <v>2110</v>
      </c>
      <c r="F62" s="2184"/>
      <c r="G62" s="2184"/>
      <c r="H62" s="2184"/>
      <c r="I62" s="2185"/>
      <c r="J62" s="2186" t="s">
        <v>1803</v>
      </c>
      <c r="K62" s="2186"/>
      <c r="L62" s="2186"/>
      <c r="M62" s="2187"/>
    </row>
    <row r="63" spans="1:14">
      <c r="A63" s="2191" t="s">
        <v>2111</v>
      </c>
      <c r="B63" s="2187"/>
      <c r="C63" s="2186" t="e">
        <f ca="1">_51QP</f>
        <v>#DIV/0!</v>
      </c>
      <c r="D63" s="2186"/>
      <c r="E63" s="2183" t="s">
        <v>2112</v>
      </c>
      <c r="F63" s="2184"/>
      <c r="G63" s="2184"/>
      <c r="H63" s="2184"/>
      <c r="I63" s="2185"/>
      <c r="J63" s="2186" t="s">
        <v>1806</v>
      </c>
      <c r="K63" s="2186"/>
      <c r="L63" s="2186"/>
      <c r="M63" s="2187"/>
    </row>
    <row r="64" spans="1:14" s="692" customFormat="1">
      <c r="A64" s="2236" t="s">
        <v>1759</v>
      </c>
      <c r="B64" s="2237"/>
      <c r="C64" s="2238" t="e">
        <f ca="1">_ZLF</f>
        <v>#DIV/0!</v>
      </c>
      <c r="D64" s="2238"/>
      <c r="E64" s="2239" t="s">
        <v>1760</v>
      </c>
      <c r="F64" s="2240"/>
      <c r="G64" s="2240"/>
      <c r="H64" s="2240"/>
      <c r="I64" s="2241"/>
      <c r="J64" s="2238" t="s">
        <v>1761</v>
      </c>
      <c r="K64" s="2238"/>
      <c r="L64" s="2238"/>
      <c r="M64" s="2237"/>
    </row>
    <row r="65" spans="1:13" s="692" customFormat="1">
      <c r="A65" s="2236" t="s">
        <v>1762</v>
      </c>
      <c r="B65" s="2237"/>
      <c r="C65" s="2238" t="e">
        <f ca="1">_ZLF</f>
        <v>#DIV/0!</v>
      </c>
      <c r="D65" s="2238"/>
      <c r="E65" s="2239" t="s">
        <v>1763</v>
      </c>
      <c r="F65" s="2240"/>
      <c r="G65" s="2240"/>
      <c r="H65" s="2240"/>
      <c r="I65" s="2241"/>
      <c r="J65" s="2238" t="s">
        <v>1764</v>
      </c>
      <c r="K65" s="2238"/>
      <c r="L65" s="2238"/>
      <c r="M65" s="2237"/>
    </row>
    <row r="66" spans="1:13" s="692" customFormat="1">
      <c r="A66" s="2236" t="s">
        <v>898</v>
      </c>
      <c r="B66" s="2237"/>
      <c r="C66" s="2242">
        <f>'6) Zone Imp'!U163</f>
        <v>40</v>
      </c>
      <c r="D66" s="2242"/>
      <c r="E66" s="2239" t="s">
        <v>1765</v>
      </c>
      <c r="F66" s="2240"/>
      <c r="G66" s="2240"/>
      <c r="H66" s="2240"/>
      <c r="I66" s="2241"/>
      <c r="J66" s="2238" t="s">
        <v>1761</v>
      </c>
      <c r="K66" s="2238"/>
      <c r="L66" s="2238"/>
      <c r="M66" s="2237"/>
    </row>
    <row r="67" spans="1:13" s="692" customFormat="1">
      <c r="A67" s="2236" t="s">
        <v>899</v>
      </c>
      <c r="B67" s="2237"/>
      <c r="C67" s="2242">
        <f>'6) Zone Imp'!U164</f>
        <v>-40</v>
      </c>
      <c r="D67" s="2242"/>
      <c r="E67" s="2239" t="s">
        <v>1766</v>
      </c>
      <c r="F67" s="2240"/>
      <c r="G67" s="2240"/>
      <c r="H67" s="2240"/>
      <c r="I67" s="2241"/>
      <c r="J67" s="2238" t="s">
        <v>1761</v>
      </c>
      <c r="K67" s="2238"/>
      <c r="L67" s="2238"/>
      <c r="M67" s="2237"/>
    </row>
    <row r="68" spans="1:13" s="692" customFormat="1">
      <c r="A68" s="2236" t="s">
        <v>1767</v>
      </c>
      <c r="B68" s="2237"/>
      <c r="C68" s="2242">
        <f>180-C66</f>
        <v>140</v>
      </c>
      <c r="D68" s="2242"/>
      <c r="E68" s="2239" t="s">
        <v>1768</v>
      </c>
      <c r="F68" s="2240"/>
      <c r="G68" s="2240"/>
      <c r="H68" s="2240"/>
      <c r="I68" s="2241"/>
      <c r="J68" s="2238" t="s">
        <v>1764</v>
      </c>
      <c r="K68" s="2238"/>
      <c r="L68" s="2238"/>
      <c r="M68" s="2237"/>
    </row>
    <row r="69" spans="1:13" s="692" customFormat="1">
      <c r="A69" s="2236" t="s">
        <v>1769</v>
      </c>
      <c r="B69" s="2237"/>
      <c r="C69" s="2242">
        <f>180-C67</f>
        <v>220</v>
      </c>
      <c r="D69" s="2242"/>
      <c r="E69" s="2239" t="s">
        <v>1770</v>
      </c>
      <c r="F69" s="2240"/>
      <c r="G69" s="2240"/>
      <c r="H69" s="2240"/>
      <c r="I69" s="2241"/>
      <c r="J69" s="2238" t="s">
        <v>1764</v>
      </c>
      <c r="K69" s="2238"/>
      <c r="L69" s="2238"/>
      <c r="M69" s="2237"/>
    </row>
    <row r="70" spans="1:13">
      <c r="A70" s="2191" t="s">
        <v>1406</v>
      </c>
      <c r="B70" s="2187"/>
      <c r="C70" s="2186" t="e">
        <f ca="1">_27P</f>
        <v>#DIV/0!</v>
      </c>
      <c r="D70" s="2186"/>
      <c r="E70" s="2183" t="s">
        <v>1891</v>
      </c>
      <c r="F70" s="2184"/>
      <c r="G70" s="2184"/>
      <c r="H70" s="2184"/>
      <c r="I70" s="2185"/>
      <c r="J70" s="2186" t="s">
        <v>1892</v>
      </c>
      <c r="K70" s="2186"/>
      <c r="L70" s="2186"/>
      <c r="M70" s="2187"/>
    </row>
    <row r="71" spans="1:13">
      <c r="A71" s="2191" t="s">
        <v>2113</v>
      </c>
      <c r="B71" s="2187"/>
      <c r="C71" s="2208" t="e">
        <f ca="1">_59P</f>
        <v>#DIV/0!</v>
      </c>
      <c r="D71" s="2208"/>
      <c r="E71" s="2183" t="s">
        <v>1886</v>
      </c>
      <c r="F71" s="2184"/>
      <c r="G71" s="2184"/>
      <c r="H71" s="2184"/>
      <c r="I71" s="2185"/>
      <c r="J71" s="2186" t="s">
        <v>1887</v>
      </c>
      <c r="K71" s="2186"/>
      <c r="L71" s="2186"/>
      <c r="M71" s="2187"/>
    </row>
    <row r="72" spans="1:13">
      <c r="A72" s="2191" t="s">
        <v>1345</v>
      </c>
      <c r="B72" s="2187"/>
      <c r="C72" s="2186" t="e">
        <f ca="1">_59N1P</f>
        <v>#DIV/0!</v>
      </c>
      <c r="D72" s="2186"/>
      <c r="E72" s="2183" t="s">
        <v>2114</v>
      </c>
      <c r="F72" s="2184"/>
      <c r="G72" s="2184"/>
      <c r="H72" s="2184"/>
      <c r="I72" s="2185"/>
      <c r="J72" s="2186" t="s">
        <v>1876</v>
      </c>
      <c r="K72" s="2186"/>
      <c r="L72" s="2186"/>
      <c r="M72" s="2187"/>
    </row>
    <row r="73" spans="1:13">
      <c r="A73" s="2191" t="s">
        <v>2115</v>
      </c>
      <c r="B73" s="2187"/>
      <c r="C73" s="2186">
        <f>_59N2P</f>
        <v>10</v>
      </c>
      <c r="D73" s="2186"/>
      <c r="E73" s="2183" t="s">
        <v>1889</v>
      </c>
      <c r="F73" s="2184"/>
      <c r="G73" s="2184"/>
      <c r="H73" s="2184"/>
      <c r="I73" s="2185"/>
      <c r="J73" s="2186" t="s">
        <v>1890</v>
      </c>
      <c r="K73" s="2186"/>
      <c r="L73" s="2186"/>
      <c r="M73" s="2187"/>
    </row>
    <row r="74" spans="1:13" ht="19.5" customHeight="1">
      <c r="A74" s="2191" t="s">
        <v>2116</v>
      </c>
      <c r="B74" s="2187"/>
      <c r="C74" s="2214" t="e">
        <f>_59SP</f>
        <v>#VALUE!</v>
      </c>
      <c r="D74" s="2215"/>
      <c r="E74" s="2183" t="s">
        <v>174</v>
      </c>
      <c r="F74" s="2184"/>
      <c r="G74" s="2184"/>
      <c r="H74" s="2184"/>
      <c r="I74" s="2185"/>
      <c r="J74" s="2186" t="s">
        <v>174</v>
      </c>
      <c r="K74" s="2186"/>
      <c r="L74" s="2186"/>
      <c r="M74" s="2187"/>
    </row>
    <row r="75" spans="1:13">
      <c r="A75" s="2191" t="s">
        <v>1340</v>
      </c>
      <c r="B75" s="2187"/>
      <c r="C75" s="2186" t="e">
        <f ca="1">_27PP</f>
        <v>#DIV/0!</v>
      </c>
      <c r="D75" s="2186"/>
      <c r="E75" s="2183" t="s">
        <v>2117</v>
      </c>
      <c r="F75" s="2184"/>
      <c r="G75" s="2184"/>
      <c r="H75" s="2184"/>
      <c r="I75" s="2185"/>
      <c r="J75" s="2186" t="s">
        <v>1878</v>
      </c>
      <c r="K75" s="2186"/>
      <c r="L75" s="2186"/>
      <c r="M75" s="2187"/>
    </row>
    <row r="76" spans="1:13" s="692" customFormat="1">
      <c r="A76" s="2236" t="s">
        <v>2007</v>
      </c>
      <c r="B76" s="2237"/>
      <c r="C76" s="2238">
        <f>_BFPU1</f>
        <v>10</v>
      </c>
      <c r="D76" s="2238"/>
      <c r="E76" s="2239" t="s">
        <v>1811</v>
      </c>
      <c r="F76" s="2240"/>
      <c r="G76" s="2240"/>
      <c r="H76" s="2240"/>
      <c r="I76" s="2241"/>
      <c r="J76" s="2238" t="s">
        <v>1812</v>
      </c>
      <c r="K76" s="2238"/>
      <c r="L76" s="2238"/>
      <c r="M76" s="2237"/>
    </row>
    <row r="77" spans="1:13" s="692" customFormat="1">
      <c r="A77" s="2236" t="s">
        <v>2118</v>
      </c>
      <c r="B77" s="2237"/>
      <c r="C77" s="2238">
        <f>_SV7PU</f>
        <v>40</v>
      </c>
      <c r="D77" s="2238"/>
      <c r="E77" s="2239" t="s">
        <v>1897</v>
      </c>
      <c r="F77" s="2240"/>
      <c r="G77" s="2240"/>
      <c r="H77" s="2240"/>
      <c r="I77" s="2241"/>
      <c r="J77" s="2238" t="s">
        <v>1898</v>
      </c>
      <c r="K77" s="2238"/>
      <c r="L77" s="2238"/>
      <c r="M77" s="2237"/>
    </row>
    <row r="78" spans="1:13">
      <c r="A78" s="2191" t="s">
        <v>2121</v>
      </c>
      <c r="B78" s="2187"/>
      <c r="C78" s="2238">
        <f>_SET16</f>
        <v>0</v>
      </c>
      <c r="D78" s="2238"/>
      <c r="E78" s="2183" t="s">
        <v>1880</v>
      </c>
      <c r="F78" s="2184"/>
      <c r="G78" s="2184"/>
      <c r="H78" s="2184"/>
      <c r="I78" s="2185"/>
      <c r="J78" s="2186" t="s">
        <v>1881</v>
      </c>
      <c r="K78" s="2186"/>
      <c r="L78" s="2186"/>
      <c r="M78" s="2187"/>
    </row>
    <row r="79" spans="1:13">
      <c r="A79" s="2191" t="s">
        <v>2122</v>
      </c>
      <c r="B79" s="2187"/>
      <c r="C79" s="2238">
        <f>IF(C78=0,1,0)</f>
        <v>1</v>
      </c>
      <c r="D79" s="2238"/>
      <c r="E79" s="2183" t="s">
        <v>1880</v>
      </c>
      <c r="F79" s="2184"/>
      <c r="G79" s="2184"/>
      <c r="H79" s="2184"/>
      <c r="I79" s="2185"/>
      <c r="J79" s="2186" t="s">
        <v>1881</v>
      </c>
      <c r="K79" s="2186"/>
      <c r="L79" s="2186"/>
      <c r="M79" s="2187"/>
    </row>
    <row r="80" spans="1:13" s="692" customFormat="1">
      <c r="A80" s="2236" t="s">
        <v>1775</v>
      </c>
      <c r="B80" s="2237"/>
      <c r="C80" s="2238" t="str">
        <f>'10) SOTF'!Q42</f>
        <v>(27A+27B+27C)*SOTFE</v>
      </c>
      <c r="D80" s="2238"/>
      <c r="E80" s="2239" t="s">
        <v>1776</v>
      </c>
      <c r="F80" s="2240"/>
      <c r="G80" s="2240"/>
      <c r="H80" s="2240"/>
      <c r="I80" s="2241"/>
      <c r="J80" s="2238" t="s">
        <v>1777</v>
      </c>
      <c r="K80" s="2238"/>
      <c r="L80" s="2238"/>
      <c r="M80" s="2237"/>
    </row>
    <row r="81" spans="1:13">
      <c r="A81" s="2191"/>
      <c r="B81" s="2187"/>
      <c r="C81" s="2186"/>
      <c r="D81" s="2186"/>
      <c r="E81" s="2183"/>
      <c r="F81" s="2184"/>
      <c r="G81" s="2184"/>
      <c r="H81" s="2184"/>
      <c r="I81" s="2185"/>
      <c r="J81" s="2186"/>
      <c r="K81" s="2186"/>
      <c r="L81" s="2186"/>
      <c r="M81" s="2187"/>
    </row>
    <row r="82" spans="1:13">
      <c r="A82" s="2191"/>
      <c r="B82" s="2187"/>
      <c r="C82" s="2186"/>
      <c r="D82" s="2186"/>
      <c r="E82" s="2183"/>
      <c r="F82" s="2184"/>
      <c r="G82" s="2184"/>
      <c r="H82" s="2184"/>
      <c r="I82" s="2185"/>
      <c r="J82" s="2186"/>
      <c r="K82" s="2186"/>
      <c r="L82" s="2186"/>
      <c r="M82" s="2187"/>
    </row>
    <row r="83" spans="1:13">
      <c r="A83" s="2191"/>
      <c r="B83" s="2187"/>
      <c r="C83" s="2186"/>
      <c r="D83" s="2186"/>
      <c r="E83" s="2183"/>
      <c r="F83" s="2184"/>
      <c r="G83" s="2184"/>
      <c r="H83" s="2184"/>
      <c r="I83" s="2185"/>
      <c r="J83" s="2186"/>
      <c r="K83" s="2186"/>
      <c r="L83" s="2186"/>
      <c r="M83" s="2187"/>
    </row>
    <row r="84" spans="1:13">
      <c r="A84" s="2191"/>
      <c r="B84" s="2187"/>
      <c r="C84" s="2186"/>
      <c r="D84" s="2186"/>
      <c r="E84" s="2183"/>
      <c r="F84" s="2184"/>
      <c r="G84" s="2184"/>
      <c r="H84" s="2184"/>
      <c r="I84" s="2185"/>
      <c r="J84" s="2186"/>
      <c r="K84" s="2186"/>
      <c r="L84" s="2186"/>
      <c r="M84" s="2187"/>
    </row>
    <row r="85" spans="1:13">
      <c r="A85" s="2191"/>
      <c r="B85" s="2187"/>
      <c r="C85" s="2186"/>
      <c r="D85" s="2186"/>
      <c r="E85" s="2183"/>
      <c r="F85" s="2184"/>
      <c r="G85" s="2184"/>
      <c r="H85" s="2184"/>
      <c r="I85" s="2185"/>
      <c r="J85" s="2186"/>
      <c r="K85" s="2186"/>
      <c r="L85" s="2186"/>
      <c r="M85" s="2187"/>
    </row>
    <row r="86" spans="1:13">
      <c r="A86" s="2191"/>
      <c r="B86" s="2187"/>
      <c r="C86" s="2186"/>
      <c r="D86" s="2186"/>
      <c r="E86" s="2183"/>
      <c r="F86" s="2184"/>
      <c r="G86" s="2184"/>
      <c r="H86" s="2184"/>
      <c r="I86" s="2185"/>
      <c r="J86" s="2186"/>
      <c r="K86" s="2186"/>
      <c r="L86" s="2186"/>
      <c r="M86" s="2187"/>
    </row>
    <row r="87" spans="1:13">
      <c r="A87" s="2191"/>
      <c r="B87" s="2187"/>
      <c r="C87" s="2186"/>
      <c r="D87" s="2186"/>
      <c r="E87" s="2183"/>
      <c r="F87" s="2184"/>
      <c r="G87" s="2184"/>
      <c r="H87" s="2184"/>
      <c r="I87" s="2185"/>
      <c r="J87" s="2186"/>
      <c r="K87" s="2186"/>
      <c r="L87" s="2186"/>
      <c r="M87" s="2187"/>
    </row>
    <row r="88" spans="1:13">
      <c r="A88" s="2191"/>
      <c r="B88" s="2187"/>
      <c r="C88" s="2186"/>
      <c r="D88" s="2186"/>
      <c r="E88" s="2183"/>
      <c r="F88" s="2184"/>
      <c r="G88" s="2184"/>
      <c r="H88" s="2184"/>
      <c r="I88" s="2185"/>
      <c r="J88" s="2186"/>
      <c r="K88" s="2186"/>
      <c r="L88" s="2186"/>
      <c r="M88" s="2187"/>
    </row>
    <row r="89" spans="1:13">
      <c r="A89" s="2191"/>
      <c r="B89" s="2187"/>
      <c r="C89" s="2186"/>
      <c r="D89" s="2186"/>
      <c r="E89" s="2183"/>
      <c r="F89" s="2184"/>
      <c r="G89" s="2184"/>
      <c r="H89" s="2184"/>
      <c r="I89" s="2185"/>
      <c r="J89" s="2186"/>
      <c r="K89" s="2186"/>
      <c r="L89" s="2186"/>
      <c r="M89" s="2187"/>
    </row>
    <row r="90" spans="1:13">
      <c r="A90" s="2191"/>
      <c r="B90" s="2187"/>
      <c r="C90" s="2186"/>
      <c r="D90" s="2186"/>
      <c r="E90" s="2183"/>
      <c r="F90" s="2184"/>
      <c r="G90" s="2184"/>
      <c r="H90" s="2184"/>
      <c r="I90" s="2185"/>
      <c r="J90" s="2186"/>
      <c r="K90" s="2186"/>
      <c r="L90" s="2186"/>
      <c r="M90" s="2187"/>
    </row>
    <row r="91" spans="1:13">
      <c r="A91" s="2191"/>
      <c r="B91" s="2187"/>
      <c r="C91" s="2186"/>
      <c r="D91" s="2186"/>
      <c r="E91" s="2183"/>
      <c r="F91" s="2184"/>
      <c r="G91" s="2184"/>
      <c r="H91" s="2184"/>
      <c r="I91" s="2185"/>
      <c r="J91" s="2186"/>
      <c r="K91" s="2186"/>
      <c r="L91" s="2186"/>
      <c r="M91" s="2187"/>
    </row>
    <row r="92" spans="1:13">
      <c r="A92" s="2191"/>
      <c r="B92" s="2187"/>
      <c r="C92" s="2186"/>
      <c r="D92" s="2186"/>
      <c r="E92" s="2183"/>
      <c r="F92" s="2184"/>
      <c r="G92" s="2184"/>
      <c r="H92" s="2184"/>
      <c r="I92" s="2185"/>
      <c r="J92" s="2186"/>
      <c r="K92" s="2186"/>
      <c r="L92" s="2186"/>
      <c r="M92" s="2187"/>
    </row>
    <row r="93" spans="1:13">
      <c r="A93" s="2191"/>
      <c r="B93" s="2187"/>
      <c r="C93" s="2186"/>
      <c r="D93" s="2186"/>
      <c r="E93" s="2183"/>
      <c r="F93" s="2184"/>
      <c r="G93" s="2184"/>
      <c r="H93" s="2184"/>
      <c r="I93" s="2185"/>
      <c r="J93" s="2186"/>
      <c r="K93" s="2186"/>
      <c r="L93" s="2186"/>
      <c r="M93" s="2187"/>
    </row>
    <row r="94" spans="1:13">
      <c r="A94" s="2191"/>
      <c r="B94" s="2187"/>
      <c r="C94" s="2186"/>
      <c r="D94" s="2186"/>
      <c r="E94" s="2183"/>
      <c r="F94" s="2184"/>
      <c r="G94" s="2184"/>
      <c r="H94" s="2184"/>
      <c r="I94" s="2185"/>
      <c r="J94" s="2186"/>
      <c r="K94" s="2186"/>
      <c r="L94" s="2186"/>
      <c r="M94" s="2187"/>
    </row>
    <row r="95" spans="1:13">
      <c r="A95" s="2191"/>
      <c r="B95" s="2187"/>
      <c r="C95" s="2186"/>
      <c r="D95" s="2186"/>
      <c r="E95" s="2183"/>
      <c r="F95" s="2184"/>
      <c r="G95" s="2184"/>
      <c r="H95" s="2184"/>
      <c r="I95" s="2185"/>
      <c r="J95" s="2186"/>
      <c r="K95" s="2186"/>
      <c r="L95" s="2186"/>
      <c r="M95" s="2187"/>
    </row>
    <row r="96" spans="1:13">
      <c r="A96" s="2191"/>
      <c r="B96" s="2187"/>
      <c r="C96" s="2186"/>
      <c r="D96" s="2186"/>
      <c r="E96" s="2183"/>
      <c r="F96" s="2184"/>
      <c r="G96" s="2184"/>
      <c r="H96" s="2184"/>
      <c r="I96" s="2185"/>
      <c r="J96" s="2186"/>
      <c r="K96" s="2186"/>
      <c r="L96" s="2186"/>
      <c r="M96" s="2187"/>
    </row>
    <row r="97" spans="1:13">
      <c r="A97" s="2191"/>
      <c r="B97" s="2187"/>
      <c r="C97" s="2186"/>
      <c r="D97" s="2186"/>
      <c r="E97" s="2183"/>
      <c r="F97" s="2184"/>
      <c r="G97" s="2184"/>
      <c r="H97" s="2184"/>
      <c r="I97" s="2185"/>
      <c r="J97" s="2186"/>
      <c r="K97" s="2186"/>
      <c r="L97" s="2186"/>
      <c r="M97" s="2187"/>
    </row>
    <row r="98" spans="1:13">
      <c r="A98" s="2191"/>
      <c r="B98" s="2187"/>
      <c r="C98" s="2186"/>
      <c r="D98" s="2186"/>
      <c r="E98" s="2183"/>
      <c r="F98" s="2184"/>
      <c r="G98" s="2184"/>
      <c r="H98" s="2184"/>
      <c r="I98" s="2185"/>
      <c r="J98" s="2186"/>
      <c r="K98" s="2186"/>
      <c r="L98" s="2186"/>
      <c r="M98" s="2187"/>
    </row>
    <row r="99" spans="1:13">
      <c r="A99" s="2191"/>
      <c r="B99" s="2187"/>
      <c r="C99" s="2186"/>
      <c r="D99" s="2186"/>
      <c r="E99" s="2183"/>
      <c r="F99" s="2184"/>
      <c r="G99" s="2184"/>
      <c r="H99" s="2184"/>
      <c r="I99" s="2185"/>
      <c r="J99" s="2186"/>
      <c r="K99" s="2186"/>
      <c r="L99" s="2186"/>
      <c r="M99" s="2187"/>
    </row>
    <row r="100" spans="1:13">
      <c r="A100" s="2191"/>
      <c r="B100" s="2187"/>
      <c r="C100" s="2186"/>
      <c r="D100" s="2186"/>
      <c r="E100" s="2183"/>
      <c r="F100" s="2184"/>
      <c r="G100" s="2184"/>
      <c r="H100" s="2184"/>
      <c r="I100" s="2185"/>
      <c r="J100" s="2186"/>
      <c r="K100" s="2186"/>
      <c r="L100" s="2186"/>
      <c r="M100" s="2187"/>
    </row>
    <row r="101" spans="1:13">
      <c r="A101" s="2191"/>
      <c r="B101" s="2187"/>
      <c r="C101" s="2186"/>
      <c r="D101" s="2186"/>
      <c r="E101" s="2183"/>
      <c r="F101" s="2184"/>
      <c r="G101" s="2184"/>
      <c r="H101" s="2184"/>
      <c r="I101" s="2185"/>
      <c r="J101" s="2186"/>
      <c r="K101" s="2186"/>
      <c r="L101" s="2186"/>
      <c r="M101" s="2187"/>
    </row>
    <row r="102" spans="1:13">
      <c r="A102" s="2191"/>
      <c r="B102" s="2187"/>
      <c r="C102" s="2186"/>
      <c r="D102" s="2186"/>
      <c r="E102" s="2183"/>
      <c r="F102" s="2184"/>
      <c r="G102" s="2184"/>
      <c r="H102" s="2184"/>
      <c r="I102" s="2185"/>
      <c r="J102" s="2186"/>
      <c r="K102" s="2186"/>
      <c r="L102" s="2186"/>
      <c r="M102" s="2187"/>
    </row>
    <row r="103" spans="1:13">
      <c r="A103" s="2191"/>
      <c r="B103" s="2187"/>
      <c r="C103" s="2186"/>
      <c r="D103" s="2186"/>
      <c r="E103" s="2183"/>
      <c r="F103" s="2184"/>
      <c r="G103" s="2184"/>
      <c r="H103" s="2184"/>
      <c r="I103" s="2185"/>
      <c r="J103" s="2186"/>
      <c r="K103" s="2186"/>
      <c r="L103" s="2186"/>
      <c r="M103" s="2187"/>
    </row>
    <row r="104" spans="1:13">
      <c r="A104" s="2191"/>
      <c r="B104" s="2187"/>
      <c r="C104" s="2186"/>
      <c r="D104" s="2186"/>
      <c r="E104" s="2183"/>
      <c r="F104" s="2184"/>
      <c r="G104" s="2184"/>
      <c r="H104" s="2184"/>
      <c r="I104" s="2185"/>
      <c r="J104" s="2186"/>
      <c r="K104" s="2186"/>
      <c r="L104" s="2186"/>
      <c r="M104" s="2187"/>
    </row>
    <row r="105" spans="1:13">
      <c r="A105" s="2191"/>
      <c r="B105" s="2187"/>
      <c r="C105" s="2186"/>
      <c r="D105" s="2186"/>
      <c r="E105" s="2183"/>
      <c r="F105" s="2184"/>
      <c r="G105" s="2184"/>
      <c r="H105" s="2184"/>
      <c r="I105" s="2185"/>
      <c r="J105" s="2186"/>
      <c r="K105" s="2186"/>
      <c r="L105" s="2186"/>
      <c r="M105" s="2187"/>
    </row>
    <row r="106" spans="1:13">
      <c r="A106" s="2191"/>
      <c r="B106" s="2187"/>
      <c r="C106" s="2186"/>
      <c r="D106" s="2186"/>
      <c r="E106" s="2183"/>
      <c r="F106" s="2184"/>
      <c r="G106" s="2184"/>
      <c r="H106" s="2184"/>
      <c r="I106" s="2185"/>
      <c r="J106" s="2186"/>
      <c r="K106" s="2186"/>
      <c r="L106" s="2186"/>
      <c r="M106" s="2187"/>
    </row>
    <row r="107" spans="1:13">
      <c r="A107" s="2191"/>
      <c r="B107" s="2187"/>
      <c r="C107" s="2186"/>
      <c r="D107" s="2186"/>
      <c r="E107" s="2183"/>
      <c r="F107" s="2184"/>
      <c r="G107" s="2184"/>
      <c r="H107" s="2184"/>
      <c r="I107" s="2185"/>
      <c r="J107" s="2186"/>
      <c r="K107" s="2186"/>
      <c r="L107" s="2186"/>
      <c r="M107" s="2187"/>
    </row>
    <row r="108" spans="1:13">
      <c r="A108" s="2191"/>
      <c r="B108" s="2187"/>
      <c r="C108" s="2186"/>
      <c r="D108" s="2186"/>
      <c r="E108" s="2183"/>
      <c r="F108" s="2184"/>
      <c r="G108" s="2184"/>
      <c r="H108" s="2184"/>
      <c r="I108" s="2185"/>
      <c r="J108" s="2186"/>
      <c r="K108" s="2186"/>
      <c r="L108" s="2186"/>
      <c r="M108" s="2187"/>
    </row>
    <row r="109" spans="1:13">
      <c r="A109" s="2191"/>
      <c r="B109" s="2187"/>
      <c r="C109" s="2186"/>
      <c r="D109" s="2186"/>
      <c r="E109" s="2183"/>
      <c r="F109" s="2184"/>
      <c r="G109" s="2184"/>
      <c r="H109" s="2184"/>
      <c r="I109" s="2185"/>
      <c r="J109" s="2186"/>
      <c r="K109" s="2186"/>
      <c r="L109" s="2186"/>
      <c r="M109" s="2187"/>
    </row>
    <row r="110" spans="1:13">
      <c r="A110" s="2191"/>
      <c r="B110" s="2187"/>
      <c r="C110" s="2186"/>
      <c r="D110" s="2186"/>
      <c r="E110" s="2183"/>
      <c r="F110" s="2184"/>
      <c r="G110" s="2184"/>
      <c r="H110" s="2184"/>
      <c r="I110" s="2185"/>
      <c r="J110" s="2186"/>
      <c r="K110" s="2186"/>
      <c r="L110" s="2186"/>
      <c r="M110" s="2187"/>
    </row>
    <row r="111" spans="1:13">
      <c r="A111" s="2191"/>
      <c r="B111" s="2187"/>
      <c r="C111" s="2186"/>
      <c r="D111" s="2186"/>
      <c r="E111" s="2183"/>
      <c r="F111" s="2184"/>
      <c r="G111" s="2184"/>
      <c r="H111" s="2184"/>
      <c r="I111" s="2185"/>
      <c r="J111" s="2186"/>
      <c r="K111" s="2186"/>
      <c r="L111" s="2186"/>
      <c r="M111" s="2187"/>
    </row>
    <row r="112" spans="1:13">
      <c r="A112" s="2191"/>
      <c r="B112" s="2187"/>
      <c r="C112" s="2186"/>
      <c r="D112" s="2186"/>
      <c r="E112" s="2183"/>
      <c r="F112" s="2184"/>
      <c r="G112" s="2184"/>
      <c r="H112" s="2184"/>
      <c r="I112" s="2185"/>
      <c r="J112" s="2186"/>
      <c r="K112" s="2186"/>
      <c r="L112" s="2186"/>
      <c r="M112" s="2187"/>
    </row>
    <row r="113" spans="1:13">
      <c r="A113" s="2191"/>
      <c r="B113" s="2187"/>
      <c r="C113" s="2186"/>
      <c r="D113" s="2186"/>
      <c r="E113" s="2183"/>
      <c r="F113" s="2184"/>
      <c r="G113" s="2184"/>
      <c r="H113" s="2184"/>
      <c r="I113" s="2185"/>
      <c r="J113" s="2186"/>
      <c r="K113" s="2186"/>
      <c r="L113" s="2186"/>
      <c r="M113" s="2187"/>
    </row>
    <row r="114" spans="1:13">
      <c r="A114" s="2191"/>
      <c r="B114" s="2187"/>
      <c r="C114" s="2186"/>
      <c r="D114" s="2186"/>
      <c r="E114" s="2183"/>
      <c r="F114" s="2184"/>
      <c r="G114" s="2184"/>
      <c r="H114" s="2184"/>
      <c r="I114" s="2185"/>
      <c r="J114" s="2186"/>
      <c r="K114" s="2186"/>
      <c r="L114" s="2186"/>
      <c r="M114" s="2187"/>
    </row>
    <row r="115" spans="1:13">
      <c r="A115" s="2191"/>
      <c r="B115" s="2187"/>
      <c r="C115" s="2186"/>
      <c r="D115" s="2186"/>
      <c r="E115" s="2183"/>
      <c r="F115" s="2184"/>
      <c r="G115" s="2184"/>
      <c r="H115" s="2184"/>
      <c r="I115" s="2185"/>
      <c r="J115" s="2186"/>
      <c r="K115" s="2186"/>
      <c r="L115" s="2186"/>
      <c r="M115" s="2187"/>
    </row>
    <row r="116" spans="1:13">
      <c r="A116" s="2191"/>
      <c r="B116" s="2187"/>
      <c r="C116" s="2186"/>
      <c r="D116" s="2186"/>
      <c r="E116" s="2183"/>
      <c r="F116" s="2184"/>
      <c r="G116" s="2184"/>
      <c r="H116" s="2184"/>
      <c r="I116" s="2185"/>
      <c r="J116" s="2186"/>
      <c r="K116" s="2186"/>
      <c r="L116" s="2186"/>
      <c r="M116" s="2187"/>
    </row>
    <row r="117" spans="1:13">
      <c r="A117" s="2191"/>
      <c r="B117" s="2187"/>
      <c r="C117" s="2186"/>
      <c r="D117" s="2186"/>
      <c r="E117" s="2183"/>
      <c r="F117" s="2184"/>
      <c r="G117" s="2184"/>
      <c r="H117" s="2184"/>
      <c r="I117" s="2185"/>
      <c r="J117" s="2186"/>
      <c r="K117" s="2186"/>
      <c r="L117" s="2186"/>
      <c r="M117" s="2187"/>
    </row>
    <row r="118" spans="1:13">
      <c r="A118" s="2191"/>
      <c r="B118" s="2187"/>
      <c r="C118" s="2186"/>
      <c r="D118" s="2186"/>
      <c r="E118" s="2183"/>
      <c r="F118" s="2184"/>
      <c r="G118" s="2184"/>
      <c r="H118" s="2184"/>
      <c r="I118" s="2185"/>
      <c r="J118" s="2186"/>
      <c r="K118" s="2186"/>
      <c r="L118" s="2186"/>
      <c r="M118" s="2187"/>
    </row>
    <row r="119" spans="1:13">
      <c r="A119" s="2191"/>
      <c r="B119" s="2187"/>
      <c r="C119" s="2186"/>
      <c r="D119" s="2186"/>
      <c r="E119" s="2183"/>
      <c r="F119" s="2184"/>
      <c r="G119" s="2184"/>
      <c r="H119" s="2184"/>
      <c r="I119" s="2185"/>
      <c r="J119" s="2186"/>
      <c r="K119" s="2186"/>
      <c r="L119" s="2186"/>
      <c r="M119" s="2187"/>
    </row>
    <row r="120" spans="1:13">
      <c r="A120" s="2191"/>
      <c r="B120" s="2187"/>
      <c r="C120" s="2186"/>
      <c r="D120" s="2186"/>
      <c r="E120" s="2183"/>
      <c r="F120" s="2184"/>
      <c r="G120" s="2184"/>
      <c r="H120" s="2184"/>
      <c r="I120" s="2185"/>
      <c r="J120" s="2186"/>
      <c r="K120" s="2186"/>
      <c r="L120" s="2186"/>
      <c r="M120" s="2187"/>
    </row>
    <row r="121" spans="1:13">
      <c r="A121" s="2191"/>
      <c r="B121" s="2187"/>
      <c r="C121" s="2186"/>
      <c r="D121" s="2186"/>
      <c r="E121" s="2183"/>
      <c r="F121" s="2184"/>
      <c r="G121" s="2184"/>
      <c r="H121" s="2184"/>
      <c r="I121" s="2185"/>
      <c r="J121" s="2186"/>
      <c r="K121" s="2186"/>
      <c r="L121" s="2186"/>
      <c r="M121" s="2187"/>
    </row>
    <row r="122" spans="1:13">
      <c r="A122" s="2191"/>
      <c r="B122" s="2187"/>
      <c r="C122" s="2186"/>
      <c r="D122" s="2186"/>
      <c r="E122" s="2183"/>
      <c r="F122" s="2184"/>
      <c r="G122" s="2184"/>
      <c r="H122" s="2184"/>
      <c r="I122" s="2185"/>
      <c r="J122" s="2186"/>
      <c r="K122" s="2186"/>
      <c r="L122" s="2186"/>
      <c r="M122" s="2187"/>
    </row>
    <row r="123" spans="1:13">
      <c r="A123" s="2191"/>
      <c r="B123" s="2187"/>
      <c r="C123" s="2186"/>
      <c r="D123" s="2186"/>
      <c r="E123" s="2183"/>
      <c r="F123" s="2184"/>
      <c r="G123" s="2184"/>
      <c r="H123" s="2184"/>
      <c r="I123" s="2185"/>
      <c r="J123" s="2186"/>
      <c r="K123" s="2186"/>
      <c r="L123" s="2186"/>
      <c r="M123" s="2187"/>
    </row>
    <row r="124" spans="1:13">
      <c r="A124" s="2191"/>
      <c r="B124" s="2187"/>
      <c r="C124" s="2186"/>
      <c r="D124" s="2186"/>
      <c r="E124" s="2183"/>
      <c r="F124" s="2184"/>
      <c r="G124" s="2184"/>
      <c r="H124" s="2184"/>
      <c r="I124" s="2185"/>
      <c r="J124" s="2186"/>
      <c r="K124" s="2186"/>
      <c r="L124" s="2186"/>
      <c r="M124" s="2187"/>
    </row>
    <row r="125" spans="1:13">
      <c r="A125" s="2191"/>
      <c r="B125" s="2187"/>
      <c r="C125" s="2186"/>
      <c r="D125" s="2186"/>
      <c r="E125" s="2183"/>
      <c r="F125" s="2184"/>
      <c r="G125" s="2184"/>
      <c r="H125" s="2184"/>
      <c r="I125" s="2185"/>
      <c r="J125" s="2186"/>
      <c r="K125" s="2186"/>
      <c r="L125" s="2186"/>
      <c r="M125" s="2187"/>
    </row>
    <row r="126" spans="1:13">
      <c r="A126" s="2191"/>
      <c r="B126" s="2187"/>
      <c r="C126" s="2186"/>
      <c r="D126" s="2186"/>
      <c r="E126" s="2183"/>
      <c r="F126" s="2184"/>
      <c r="G126" s="2184"/>
      <c r="H126" s="2184"/>
      <c r="I126" s="2185"/>
      <c r="J126" s="2186"/>
      <c r="K126" s="2186"/>
      <c r="L126" s="2186"/>
      <c r="M126" s="2187"/>
    </row>
    <row r="127" spans="1:13">
      <c r="A127" s="2191"/>
      <c r="B127" s="2187"/>
      <c r="C127" s="2186"/>
      <c r="D127" s="2186"/>
      <c r="E127" s="2183"/>
      <c r="F127" s="2184"/>
      <c r="G127" s="2184"/>
      <c r="H127" s="2184"/>
      <c r="I127" s="2185"/>
      <c r="J127" s="2186"/>
      <c r="K127" s="2186"/>
      <c r="L127" s="2186"/>
      <c r="M127" s="2187"/>
    </row>
    <row r="128" spans="1:13">
      <c r="A128" s="2191"/>
      <c r="B128" s="2187"/>
      <c r="C128" s="2186"/>
      <c r="D128" s="2186"/>
      <c r="E128" s="2183"/>
      <c r="F128" s="2184"/>
      <c r="G128" s="2184"/>
      <c r="H128" s="2184"/>
      <c r="I128" s="2185"/>
      <c r="J128" s="2186"/>
      <c r="K128" s="2186"/>
      <c r="L128" s="2186"/>
      <c r="M128" s="2187"/>
    </row>
    <row r="129" spans="1:13">
      <c r="A129" s="2191"/>
      <c r="B129" s="2187"/>
      <c r="C129" s="2186"/>
      <c r="D129" s="2186"/>
      <c r="E129" s="2183"/>
      <c r="F129" s="2184"/>
      <c r="G129" s="2184"/>
      <c r="H129" s="2184"/>
      <c r="I129" s="2185"/>
      <c r="J129" s="2186"/>
      <c r="K129" s="2186"/>
      <c r="L129" s="2186"/>
      <c r="M129" s="2187"/>
    </row>
    <row r="130" spans="1:13">
      <c r="A130" s="2191"/>
      <c r="B130" s="2187"/>
      <c r="C130" s="2186"/>
      <c r="D130" s="2186"/>
      <c r="E130" s="2183"/>
      <c r="F130" s="2184"/>
      <c r="G130" s="2184"/>
      <c r="H130" s="2184"/>
      <c r="I130" s="2185"/>
      <c r="J130" s="2186"/>
      <c r="K130" s="2186"/>
      <c r="L130" s="2186"/>
      <c r="M130" s="2187"/>
    </row>
    <row r="131" spans="1:13">
      <c r="A131" s="2191"/>
      <c r="B131" s="2187"/>
      <c r="C131" s="2186"/>
      <c r="D131" s="2186"/>
      <c r="E131" s="2183"/>
      <c r="F131" s="2184"/>
      <c r="G131" s="2184"/>
      <c r="H131" s="2184"/>
      <c r="I131" s="2185"/>
      <c r="J131" s="2186"/>
      <c r="K131" s="2186"/>
      <c r="L131" s="2186"/>
      <c r="M131" s="2187"/>
    </row>
    <row r="132" spans="1:13">
      <c r="A132" s="2191"/>
      <c r="B132" s="2187"/>
      <c r="C132" s="2186"/>
      <c r="D132" s="2186"/>
      <c r="E132" s="2183"/>
      <c r="F132" s="2184"/>
      <c r="G132" s="2184"/>
      <c r="H132" s="2184"/>
      <c r="I132" s="2185"/>
      <c r="J132" s="2186"/>
      <c r="K132" s="2186"/>
      <c r="L132" s="2186"/>
      <c r="M132" s="2187"/>
    </row>
    <row r="133" spans="1:13">
      <c r="A133" s="2191"/>
      <c r="B133" s="2187"/>
      <c r="C133" s="2186"/>
      <c r="D133" s="2186"/>
      <c r="E133" s="2183"/>
      <c r="F133" s="2184"/>
      <c r="G133" s="2184"/>
      <c r="H133" s="2184"/>
      <c r="I133" s="2185"/>
      <c r="J133" s="2186"/>
      <c r="K133" s="2186"/>
      <c r="L133" s="2186"/>
      <c r="M133" s="2187"/>
    </row>
    <row r="134" spans="1:13">
      <c r="A134" s="2191"/>
      <c r="B134" s="2187"/>
      <c r="C134" s="2186"/>
      <c r="D134" s="2186"/>
      <c r="E134" s="2183"/>
      <c r="F134" s="2184"/>
      <c r="G134" s="2184"/>
      <c r="H134" s="2184"/>
      <c r="I134" s="2185"/>
      <c r="J134" s="2186"/>
      <c r="K134" s="2186"/>
      <c r="L134" s="2186"/>
      <c r="M134" s="2187"/>
    </row>
    <row r="135" spans="1:13">
      <c r="A135" s="2191"/>
      <c r="B135" s="2187"/>
      <c r="C135" s="2186"/>
      <c r="D135" s="2186"/>
      <c r="E135" s="2183"/>
      <c r="F135" s="2184"/>
      <c r="G135" s="2184"/>
      <c r="H135" s="2184"/>
      <c r="I135" s="2185"/>
      <c r="J135" s="2186"/>
      <c r="K135" s="2186"/>
      <c r="L135" s="2186"/>
      <c r="M135" s="2187"/>
    </row>
    <row r="136" spans="1:13">
      <c r="A136" s="2191"/>
      <c r="B136" s="2187"/>
      <c r="C136" s="2186"/>
      <c r="D136" s="2186"/>
      <c r="E136" s="2183"/>
      <c r="F136" s="2184"/>
      <c r="G136" s="2184"/>
      <c r="H136" s="2184"/>
      <c r="I136" s="2185"/>
      <c r="J136" s="2186"/>
      <c r="K136" s="2186"/>
      <c r="L136" s="2186"/>
      <c r="M136" s="2187"/>
    </row>
    <row r="137" spans="1:13">
      <c r="A137" s="2191"/>
      <c r="B137" s="2187"/>
      <c r="C137" s="2186"/>
      <c r="D137" s="2186"/>
      <c r="E137" s="2183"/>
      <c r="F137" s="2184"/>
      <c r="G137" s="2184"/>
      <c r="H137" s="2184"/>
      <c r="I137" s="2185"/>
      <c r="J137" s="2186"/>
      <c r="K137" s="2186"/>
      <c r="L137" s="2186"/>
      <c r="M137" s="2187"/>
    </row>
    <row r="138" spans="1:13">
      <c r="A138" s="2191"/>
      <c r="B138" s="2187"/>
      <c r="C138" s="2186"/>
      <c r="D138" s="2186"/>
      <c r="E138" s="2183"/>
      <c r="F138" s="2184"/>
      <c r="G138" s="2184"/>
      <c r="H138" s="2184"/>
      <c r="I138" s="2185"/>
      <c r="J138" s="2186"/>
      <c r="K138" s="2186"/>
      <c r="L138" s="2186"/>
      <c r="M138" s="2187"/>
    </row>
    <row r="139" spans="1:13">
      <c r="A139" s="2191"/>
      <c r="B139" s="2187"/>
      <c r="C139" s="2186"/>
      <c r="D139" s="2186"/>
      <c r="E139" s="2183"/>
      <c r="F139" s="2184"/>
      <c r="G139" s="2184"/>
      <c r="H139" s="2184"/>
      <c r="I139" s="2185"/>
      <c r="J139" s="2186"/>
      <c r="K139" s="2186"/>
      <c r="L139" s="2186"/>
      <c r="M139" s="2187"/>
    </row>
    <row r="140" spans="1:13">
      <c r="A140" s="2191"/>
      <c r="B140" s="2187"/>
      <c r="C140" s="2186"/>
      <c r="D140" s="2186"/>
      <c r="E140" s="2183"/>
      <c r="F140" s="2184"/>
      <c r="G140" s="2184"/>
      <c r="H140" s="2184"/>
      <c r="I140" s="2185"/>
      <c r="J140" s="2186"/>
      <c r="K140" s="2186"/>
      <c r="L140" s="2186"/>
      <c r="M140" s="2187"/>
    </row>
    <row r="141" spans="1:13">
      <c r="A141" s="2191"/>
      <c r="B141" s="2187"/>
      <c r="C141" s="2186"/>
      <c r="D141" s="2186"/>
      <c r="E141" s="2183"/>
      <c r="F141" s="2184"/>
      <c r="G141" s="2184"/>
      <c r="H141" s="2184"/>
      <c r="I141" s="2185"/>
      <c r="J141" s="2186"/>
      <c r="K141" s="2186"/>
      <c r="L141" s="2186"/>
      <c r="M141" s="2187"/>
    </row>
    <row r="142" spans="1:13">
      <c r="A142" s="2191"/>
      <c r="B142" s="2187"/>
      <c r="C142" s="2186"/>
      <c r="D142" s="2186"/>
      <c r="E142" s="2183"/>
      <c r="F142" s="2184"/>
      <c r="G142" s="2184"/>
      <c r="H142" s="2184"/>
      <c r="I142" s="2185"/>
      <c r="J142" s="2186"/>
      <c r="K142" s="2186"/>
      <c r="L142" s="2186"/>
      <c r="M142" s="2187"/>
    </row>
    <row r="143" spans="1:13">
      <c r="A143" s="2191"/>
      <c r="B143" s="2187"/>
      <c r="C143" s="2186"/>
      <c r="D143" s="2186"/>
      <c r="E143" s="2183"/>
      <c r="F143" s="2184"/>
      <c r="G143" s="2184"/>
      <c r="H143" s="2184"/>
      <c r="I143" s="2185"/>
      <c r="J143" s="2186"/>
      <c r="K143" s="2186"/>
      <c r="L143" s="2186"/>
      <c r="M143" s="2187"/>
    </row>
    <row r="144" spans="1:13">
      <c r="A144" s="2191"/>
      <c r="B144" s="2187"/>
      <c r="C144" s="2186"/>
      <c r="D144" s="2186"/>
      <c r="E144" s="2183"/>
      <c r="F144" s="2184"/>
      <c r="G144" s="2184"/>
      <c r="H144" s="2184"/>
      <c r="I144" s="2185"/>
      <c r="J144" s="2186"/>
      <c r="K144" s="2186"/>
      <c r="L144" s="2186"/>
      <c r="M144" s="2187"/>
    </row>
    <row r="145" spans="1:13">
      <c r="A145" s="2191"/>
      <c r="B145" s="2187"/>
      <c r="C145" s="2186"/>
      <c r="D145" s="2186"/>
      <c r="E145" s="2183"/>
      <c r="F145" s="2184"/>
      <c r="G145" s="2184"/>
      <c r="H145" s="2184"/>
      <c r="I145" s="2185"/>
      <c r="J145" s="2186"/>
      <c r="K145" s="2186"/>
      <c r="L145" s="2186"/>
      <c r="M145" s="2187"/>
    </row>
    <row r="146" spans="1:13">
      <c r="A146" s="2191"/>
      <c r="B146" s="2187"/>
      <c r="C146" s="2186"/>
      <c r="D146" s="2186"/>
      <c r="E146" s="2183"/>
      <c r="F146" s="2184"/>
      <c r="G146" s="2184"/>
      <c r="H146" s="2184"/>
      <c r="I146" s="2185"/>
      <c r="J146" s="2186"/>
      <c r="K146" s="2186"/>
      <c r="L146" s="2186"/>
      <c r="M146" s="2187"/>
    </row>
    <row r="147" spans="1:13">
      <c r="A147" s="2191"/>
      <c r="B147" s="2187"/>
      <c r="C147" s="2186"/>
      <c r="D147" s="2186"/>
      <c r="E147" s="2183"/>
      <c r="F147" s="2184"/>
      <c r="G147" s="2184"/>
      <c r="H147" s="2184"/>
      <c r="I147" s="2185"/>
      <c r="J147" s="2186"/>
      <c r="K147" s="2186"/>
      <c r="L147" s="2186"/>
      <c r="M147" s="2187"/>
    </row>
    <row r="148" spans="1:13">
      <c r="A148" s="2191"/>
      <c r="B148" s="2187"/>
      <c r="C148" s="2186"/>
      <c r="D148" s="2186"/>
      <c r="E148" s="2183"/>
      <c r="F148" s="2184"/>
      <c r="G148" s="2184"/>
      <c r="H148" s="2184"/>
      <c r="I148" s="2185"/>
      <c r="J148" s="2186"/>
      <c r="K148" s="2186"/>
      <c r="L148" s="2186"/>
      <c r="M148" s="2187"/>
    </row>
    <row r="149" spans="1:13">
      <c r="A149" s="2191"/>
      <c r="B149" s="2187"/>
      <c r="C149" s="2186"/>
      <c r="D149" s="2186"/>
      <c r="E149" s="2183"/>
      <c r="F149" s="2184"/>
      <c r="G149" s="2184"/>
      <c r="H149" s="2184"/>
      <c r="I149" s="2185"/>
      <c r="J149" s="2186"/>
      <c r="K149" s="2186"/>
      <c r="L149" s="2186"/>
      <c r="M149" s="2187"/>
    </row>
    <row r="150" spans="1:13">
      <c r="A150" s="2191"/>
      <c r="B150" s="2187"/>
      <c r="C150" s="2186"/>
      <c r="D150" s="2186"/>
      <c r="E150" s="2183"/>
      <c r="F150" s="2184"/>
      <c r="G150" s="2184"/>
      <c r="H150" s="2184"/>
      <c r="I150" s="2185"/>
      <c r="J150" s="2186"/>
      <c r="K150" s="2186"/>
      <c r="L150" s="2186"/>
      <c r="M150" s="2187"/>
    </row>
    <row r="151" spans="1:13">
      <c r="A151" s="2191"/>
      <c r="B151" s="2187"/>
      <c r="C151" s="2186"/>
      <c r="D151" s="2186"/>
      <c r="E151" s="2183"/>
      <c r="F151" s="2184"/>
      <c r="G151" s="2184"/>
      <c r="H151" s="2184"/>
      <c r="I151" s="2185"/>
      <c r="J151" s="2186"/>
      <c r="K151" s="2186"/>
      <c r="L151" s="2186"/>
      <c r="M151" s="2187"/>
    </row>
    <row r="152" spans="1:13">
      <c r="A152" s="2191"/>
      <c r="B152" s="2187"/>
      <c r="C152" s="2186"/>
      <c r="D152" s="2186"/>
      <c r="E152" s="2183"/>
      <c r="F152" s="2184"/>
      <c r="G152" s="2184"/>
      <c r="H152" s="2184"/>
      <c r="I152" s="2185"/>
      <c r="J152" s="2186"/>
      <c r="K152" s="2186"/>
      <c r="L152" s="2186"/>
      <c r="M152" s="2187"/>
    </row>
    <row r="153" spans="1:13">
      <c r="A153" s="2191"/>
      <c r="B153" s="2187"/>
      <c r="C153" s="2186"/>
      <c r="D153" s="2186"/>
      <c r="E153" s="2183"/>
      <c r="F153" s="2184"/>
      <c r="G153" s="2184"/>
      <c r="H153" s="2184"/>
      <c r="I153" s="2185"/>
      <c r="J153" s="2186"/>
      <c r="K153" s="2186"/>
      <c r="L153" s="2186"/>
      <c r="M153" s="2187"/>
    </row>
    <row r="154" spans="1:13">
      <c r="A154" s="2191"/>
      <c r="B154" s="2187"/>
      <c r="C154" s="2186"/>
      <c r="D154" s="2186"/>
      <c r="E154" s="2183"/>
      <c r="F154" s="2184"/>
      <c r="G154" s="2184"/>
      <c r="H154" s="2184"/>
      <c r="I154" s="2185"/>
      <c r="J154" s="2186"/>
      <c r="K154" s="2186"/>
      <c r="L154" s="2186"/>
      <c r="M154" s="2187"/>
    </row>
    <row r="155" spans="1:13">
      <c r="A155" s="2191"/>
      <c r="B155" s="2187"/>
      <c r="C155" s="2186"/>
      <c r="D155" s="2186"/>
      <c r="E155" s="2183"/>
      <c r="F155" s="2184"/>
      <c r="G155" s="2184"/>
      <c r="H155" s="2184"/>
      <c r="I155" s="2185"/>
      <c r="J155" s="2186"/>
      <c r="K155" s="2186"/>
      <c r="L155" s="2186"/>
      <c r="M155" s="2187"/>
    </row>
    <row r="156" spans="1:13">
      <c r="A156" s="2191"/>
      <c r="B156" s="2187"/>
      <c r="C156" s="2186"/>
      <c r="D156" s="2186"/>
      <c r="E156" s="2183"/>
      <c r="F156" s="2184"/>
      <c r="G156" s="2184"/>
      <c r="H156" s="2184"/>
      <c r="I156" s="2185"/>
      <c r="J156" s="2186"/>
      <c r="K156" s="2186"/>
      <c r="L156" s="2186"/>
      <c r="M156" s="2187"/>
    </row>
    <row r="157" spans="1:13">
      <c r="A157" s="2191"/>
      <c r="B157" s="2187"/>
      <c r="C157" s="2186"/>
      <c r="D157" s="2186"/>
      <c r="E157" s="2183"/>
      <c r="F157" s="2184"/>
      <c r="G157" s="2184"/>
      <c r="H157" s="2184"/>
      <c r="I157" s="2185"/>
      <c r="J157" s="2186"/>
      <c r="K157" s="2186"/>
      <c r="L157" s="2186"/>
      <c r="M157" s="2187"/>
    </row>
    <row r="158" spans="1:13">
      <c r="A158" s="2191"/>
      <c r="B158" s="2187"/>
      <c r="C158" s="2186"/>
      <c r="D158" s="2186"/>
      <c r="E158" s="2183"/>
      <c r="F158" s="2184"/>
      <c r="G158" s="2184"/>
      <c r="H158" s="2184"/>
      <c r="I158" s="2185"/>
      <c r="J158" s="2186"/>
      <c r="K158" s="2186"/>
      <c r="L158" s="2186"/>
      <c r="M158" s="2187"/>
    </row>
    <row r="159" spans="1:13">
      <c r="A159" s="2191"/>
      <c r="B159" s="2187"/>
      <c r="C159" s="2186"/>
      <c r="D159" s="2186"/>
      <c r="E159" s="2183"/>
      <c r="F159" s="2184"/>
      <c r="G159" s="2184"/>
      <c r="H159" s="2184"/>
      <c r="I159" s="2185"/>
      <c r="J159" s="2186"/>
      <c r="K159" s="2186"/>
      <c r="L159" s="2186"/>
      <c r="M159" s="2187"/>
    </row>
    <row r="160" spans="1:13">
      <c r="A160" s="2191"/>
      <c r="B160" s="2187"/>
      <c r="C160" s="2186"/>
      <c r="D160" s="2186"/>
      <c r="E160" s="2183"/>
      <c r="F160" s="2184"/>
      <c r="G160" s="2184"/>
      <c r="H160" s="2184"/>
      <c r="I160" s="2185"/>
      <c r="J160" s="2186"/>
      <c r="K160" s="2186"/>
      <c r="L160" s="2186"/>
      <c r="M160" s="2187"/>
    </row>
    <row r="161" spans="1:13">
      <c r="A161" s="2191"/>
      <c r="B161" s="2187"/>
      <c r="C161" s="2186"/>
      <c r="D161" s="2186"/>
      <c r="E161" s="2183"/>
      <c r="F161" s="2184"/>
      <c r="G161" s="2184"/>
      <c r="H161" s="2184"/>
      <c r="I161" s="2185"/>
      <c r="J161" s="2186"/>
      <c r="K161" s="2186"/>
      <c r="L161" s="2186"/>
      <c r="M161" s="2187"/>
    </row>
    <row r="162" spans="1:13">
      <c r="A162" s="2191"/>
      <c r="B162" s="2187"/>
      <c r="C162" s="2186"/>
      <c r="D162" s="2186"/>
      <c r="E162" s="2183"/>
      <c r="F162" s="2184"/>
      <c r="G162" s="2184"/>
      <c r="H162" s="2184"/>
      <c r="I162" s="2185"/>
      <c r="J162" s="2186"/>
      <c r="K162" s="2186"/>
      <c r="L162" s="2186"/>
      <c r="M162" s="2187"/>
    </row>
    <row r="163" spans="1:13">
      <c r="A163" s="2191"/>
      <c r="B163" s="2187"/>
      <c r="C163" s="2186"/>
      <c r="D163" s="2186"/>
      <c r="E163" s="2183"/>
      <c r="F163" s="2184"/>
      <c r="G163" s="2184"/>
      <c r="H163" s="2184"/>
      <c r="I163" s="2185"/>
      <c r="J163" s="2186"/>
      <c r="K163" s="2186"/>
      <c r="L163" s="2186"/>
      <c r="M163" s="2187"/>
    </row>
    <row r="164" spans="1:13">
      <c r="A164" s="2191"/>
      <c r="B164" s="2187"/>
      <c r="C164" s="2186"/>
      <c r="D164" s="2186"/>
      <c r="E164" s="2183"/>
      <c r="F164" s="2184"/>
      <c r="G164" s="2184"/>
      <c r="H164" s="2184"/>
      <c r="I164" s="2185"/>
      <c r="J164" s="2186"/>
      <c r="K164" s="2186"/>
      <c r="L164" s="2186"/>
      <c r="M164" s="2187"/>
    </row>
    <row r="165" spans="1:13">
      <c r="A165" s="2191"/>
      <c r="B165" s="2187"/>
      <c r="C165" s="2186"/>
      <c r="D165" s="2186"/>
      <c r="E165" s="2183"/>
      <c r="F165" s="2184"/>
      <c r="G165" s="2184"/>
      <c r="H165" s="2184"/>
      <c r="I165" s="2185"/>
      <c r="J165" s="2186"/>
      <c r="K165" s="2186"/>
      <c r="L165" s="2186"/>
      <c r="M165" s="2187"/>
    </row>
    <row r="166" spans="1:13">
      <c r="A166" s="2191"/>
      <c r="B166" s="2187"/>
      <c r="C166" s="2186"/>
      <c r="D166" s="2186"/>
      <c r="E166" s="2183"/>
      <c r="F166" s="2184"/>
      <c r="G166" s="2184"/>
      <c r="H166" s="2184"/>
      <c r="I166" s="2185"/>
      <c r="J166" s="2186"/>
      <c r="K166" s="2186"/>
      <c r="L166" s="2186"/>
      <c r="M166" s="2187"/>
    </row>
    <row r="167" spans="1:13">
      <c r="A167" s="2191"/>
      <c r="B167" s="2187"/>
      <c r="C167" s="2186"/>
      <c r="D167" s="2186"/>
      <c r="E167" s="2183"/>
      <c r="F167" s="2184"/>
      <c r="G167" s="2184"/>
      <c r="H167" s="2184"/>
      <c r="I167" s="2185"/>
      <c r="J167" s="2186"/>
      <c r="K167" s="2186"/>
      <c r="L167" s="2186"/>
      <c r="M167" s="2187"/>
    </row>
    <row r="168" spans="1:13">
      <c r="A168" s="2191"/>
      <c r="B168" s="2187"/>
      <c r="C168" s="2186"/>
      <c r="D168" s="2186"/>
      <c r="E168" s="2183"/>
      <c r="F168" s="2184"/>
      <c r="G168" s="2184"/>
      <c r="H168" s="2184"/>
      <c r="I168" s="2185"/>
      <c r="J168" s="2186"/>
      <c r="K168" s="2186"/>
      <c r="L168" s="2186"/>
      <c r="M168" s="2187"/>
    </row>
    <row r="169" spans="1:13">
      <c r="A169" s="2191"/>
      <c r="B169" s="2187"/>
      <c r="C169" s="2186"/>
      <c r="D169" s="2186"/>
      <c r="E169" s="2183"/>
      <c r="F169" s="2184"/>
      <c r="G169" s="2184"/>
      <c r="H169" s="2184"/>
      <c r="I169" s="2185"/>
      <c r="J169" s="2186"/>
      <c r="K169" s="2186"/>
      <c r="L169" s="2186"/>
      <c r="M169" s="2187"/>
    </row>
    <row r="170" spans="1:13">
      <c r="A170" s="2191"/>
      <c r="B170" s="2187"/>
      <c r="C170" s="2186"/>
      <c r="D170" s="2186"/>
      <c r="E170" s="2183"/>
      <c r="F170" s="2184"/>
      <c r="G170" s="2184"/>
      <c r="H170" s="2184"/>
      <c r="I170" s="2185"/>
      <c r="J170" s="2186"/>
      <c r="K170" s="2186"/>
      <c r="L170" s="2186"/>
      <c r="M170" s="2187"/>
    </row>
    <row r="171" spans="1:13">
      <c r="A171" s="2191"/>
      <c r="B171" s="2187"/>
      <c r="C171" s="2186"/>
      <c r="D171" s="2186"/>
      <c r="E171" s="2183"/>
      <c r="F171" s="2184"/>
      <c r="G171" s="2184"/>
      <c r="H171" s="2184"/>
      <c r="I171" s="2185"/>
      <c r="J171" s="2186"/>
      <c r="K171" s="2186"/>
      <c r="L171" s="2186"/>
      <c r="M171" s="2187"/>
    </row>
    <row r="172" spans="1:13">
      <c r="A172" s="2191"/>
      <c r="B172" s="2187"/>
      <c r="C172" s="2186"/>
      <c r="D172" s="2186"/>
      <c r="E172" s="2183"/>
      <c r="F172" s="2184"/>
      <c r="G172" s="2184"/>
      <c r="H172" s="2184"/>
      <c r="I172" s="2185"/>
      <c r="J172" s="2186"/>
      <c r="K172" s="2186"/>
      <c r="L172" s="2186"/>
      <c r="M172" s="2187"/>
    </row>
    <row r="173" spans="1:13">
      <c r="A173" s="2191"/>
      <c r="B173" s="2187"/>
      <c r="C173" s="2186"/>
      <c r="D173" s="2186"/>
      <c r="E173" s="2183"/>
      <c r="F173" s="2184"/>
      <c r="G173" s="2184"/>
      <c r="H173" s="2184"/>
      <c r="I173" s="2185"/>
      <c r="J173" s="2186"/>
      <c r="K173" s="2186"/>
      <c r="L173" s="2186"/>
      <c r="M173" s="2187"/>
    </row>
    <row r="174" spans="1:13">
      <c r="A174" s="2191"/>
      <c r="B174" s="2187"/>
      <c r="C174" s="2186"/>
      <c r="D174" s="2186"/>
      <c r="E174" s="2183"/>
      <c r="F174" s="2184"/>
      <c r="G174" s="2184"/>
      <c r="H174" s="2184"/>
      <c r="I174" s="2185"/>
      <c r="J174" s="2186"/>
      <c r="K174" s="2186"/>
      <c r="L174" s="2186"/>
      <c r="M174" s="2187"/>
    </row>
    <row r="175" spans="1:13">
      <c r="A175" s="2191"/>
      <c r="B175" s="2187"/>
      <c r="C175" s="2186"/>
      <c r="D175" s="2186"/>
      <c r="E175" s="2183"/>
      <c r="F175" s="2184"/>
      <c r="G175" s="2184"/>
      <c r="H175" s="2184"/>
      <c r="I175" s="2185"/>
      <c r="J175" s="2186"/>
      <c r="K175" s="2186"/>
      <c r="L175" s="2186"/>
      <c r="M175" s="2187"/>
    </row>
    <row r="176" spans="1:13">
      <c r="A176" s="2191"/>
      <c r="B176" s="2187"/>
      <c r="C176" s="2186"/>
      <c r="D176" s="2186"/>
      <c r="E176" s="2183"/>
      <c r="F176" s="2184"/>
      <c r="G176" s="2184"/>
      <c r="H176" s="2184"/>
      <c r="I176" s="2185"/>
      <c r="J176" s="2186"/>
      <c r="K176" s="2186"/>
      <c r="L176" s="2186"/>
      <c r="M176" s="2187"/>
    </row>
    <row r="177" spans="1:13">
      <c r="A177" s="2191"/>
      <c r="B177" s="2187"/>
      <c r="C177" s="2186"/>
      <c r="D177" s="2186"/>
      <c r="E177" s="2183"/>
      <c r="F177" s="2184"/>
      <c r="G177" s="2184"/>
      <c r="H177" s="2184"/>
      <c r="I177" s="2185"/>
      <c r="J177" s="2186"/>
      <c r="K177" s="2186"/>
      <c r="L177" s="2186"/>
      <c r="M177" s="2187"/>
    </row>
    <row r="178" spans="1:13">
      <c r="A178" s="2191"/>
      <c r="B178" s="2187"/>
      <c r="C178" s="2186"/>
      <c r="D178" s="2186"/>
      <c r="E178" s="2183"/>
      <c r="F178" s="2184"/>
      <c r="G178" s="2184"/>
      <c r="H178" s="2184"/>
      <c r="I178" s="2185"/>
      <c r="J178" s="2186"/>
      <c r="K178" s="2186"/>
      <c r="L178" s="2186"/>
      <c r="M178" s="2187"/>
    </row>
    <row r="179" spans="1:13">
      <c r="A179" s="2191"/>
      <c r="B179" s="2187"/>
      <c r="C179" s="2186"/>
      <c r="D179" s="2186"/>
      <c r="E179" s="2183"/>
      <c r="F179" s="2184"/>
      <c r="G179" s="2184"/>
      <c r="H179" s="2184"/>
      <c r="I179" s="2185"/>
      <c r="J179" s="2186"/>
      <c r="K179" s="2186"/>
      <c r="L179" s="2186"/>
      <c r="M179" s="2187"/>
    </row>
    <row r="180" spans="1:13">
      <c r="A180" s="2191"/>
      <c r="B180" s="2187"/>
      <c r="C180" s="2186"/>
      <c r="D180" s="2186"/>
      <c r="E180" s="2183"/>
      <c r="F180" s="2184"/>
      <c r="G180" s="2184"/>
      <c r="H180" s="2184"/>
      <c r="I180" s="2185"/>
      <c r="J180" s="2186"/>
      <c r="K180" s="2186"/>
      <c r="L180" s="2186"/>
      <c r="M180" s="2187"/>
    </row>
    <row r="181" spans="1:13">
      <c r="A181" s="2191"/>
      <c r="B181" s="2187"/>
      <c r="C181" s="2186"/>
      <c r="D181" s="2186"/>
      <c r="E181" s="2183"/>
      <c r="F181" s="2184"/>
      <c r="G181" s="2184"/>
      <c r="H181" s="2184"/>
      <c r="I181" s="2185"/>
      <c r="J181" s="2186"/>
      <c r="K181" s="2186"/>
      <c r="L181" s="2186"/>
      <c r="M181" s="2187"/>
    </row>
    <row r="182" spans="1:13">
      <c r="A182" s="2191"/>
      <c r="B182" s="2187"/>
      <c r="C182" s="2186"/>
      <c r="D182" s="2186"/>
      <c r="E182" s="2183"/>
      <c r="F182" s="2184"/>
      <c r="G182" s="2184"/>
      <c r="H182" s="2184"/>
      <c r="I182" s="2185"/>
      <c r="J182" s="2186"/>
      <c r="K182" s="2186"/>
      <c r="L182" s="2186"/>
      <c r="M182" s="2187"/>
    </row>
    <row r="183" spans="1:13">
      <c r="A183" s="2191"/>
      <c r="B183" s="2187"/>
      <c r="C183" s="2186"/>
      <c r="D183" s="2186"/>
      <c r="E183" s="2183"/>
      <c r="F183" s="2184"/>
      <c r="G183" s="2184"/>
      <c r="H183" s="2184"/>
      <c r="I183" s="2185"/>
      <c r="J183" s="2186"/>
      <c r="K183" s="2186"/>
      <c r="L183" s="2186"/>
      <c r="M183" s="2187"/>
    </row>
    <row r="184" spans="1:13">
      <c r="A184" s="2191"/>
      <c r="B184" s="2187"/>
      <c r="C184" s="2186"/>
      <c r="D184" s="2186"/>
      <c r="E184" s="2183"/>
      <c r="F184" s="2184"/>
      <c r="G184" s="2184"/>
      <c r="H184" s="2184"/>
      <c r="I184" s="2185"/>
      <c r="J184" s="2186"/>
      <c r="K184" s="2186"/>
      <c r="L184" s="2186"/>
      <c r="M184" s="2187"/>
    </row>
    <row r="185" spans="1:13">
      <c r="A185" s="2191"/>
      <c r="B185" s="2187"/>
      <c r="C185" s="2186"/>
      <c r="D185" s="2186"/>
      <c r="E185" s="2183"/>
      <c r="F185" s="2184"/>
      <c r="G185" s="2184"/>
      <c r="H185" s="2184"/>
      <c r="I185" s="2185"/>
      <c r="J185" s="2186"/>
      <c r="K185" s="2186"/>
      <c r="L185" s="2186"/>
      <c r="M185" s="2187"/>
    </row>
    <row r="186" spans="1:13">
      <c r="A186" s="2191"/>
      <c r="B186" s="2187"/>
      <c r="C186" s="2186"/>
      <c r="D186" s="2186"/>
      <c r="E186" s="2183"/>
      <c r="F186" s="2184"/>
      <c r="G186" s="2184"/>
      <c r="H186" s="2184"/>
      <c r="I186" s="2185"/>
      <c r="J186" s="2186"/>
      <c r="K186" s="2186"/>
      <c r="L186" s="2186"/>
      <c r="M186" s="2187"/>
    </row>
    <row r="187" spans="1:13">
      <c r="A187" s="2191"/>
      <c r="B187" s="2187"/>
      <c r="C187" s="2186"/>
      <c r="D187" s="2186"/>
      <c r="E187" s="2183"/>
      <c r="F187" s="2184"/>
      <c r="G187" s="2184"/>
      <c r="H187" s="2184"/>
      <c r="I187" s="2185"/>
      <c r="J187" s="2186"/>
      <c r="K187" s="2186"/>
      <c r="L187" s="2186"/>
      <c r="M187" s="2187"/>
    </row>
    <row r="188" spans="1:13">
      <c r="A188" s="2191"/>
      <c r="B188" s="2187"/>
      <c r="C188" s="2186"/>
      <c r="D188" s="2186"/>
      <c r="E188" s="2183"/>
      <c r="F188" s="2184"/>
      <c r="G188" s="2184"/>
      <c r="H188" s="2184"/>
      <c r="I188" s="2185"/>
      <c r="J188" s="2186"/>
      <c r="K188" s="2186"/>
      <c r="L188" s="2186"/>
      <c r="M188" s="2187"/>
    </row>
    <row r="189" spans="1:13">
      <c r="A189" s="2191"/>
      <c r="B189" s="2187"/>
      <c r="C189" s="2186"/>
      <c r="D189" s="2186"/>
      <c r="E189" s="2183"/>
      <c r="F189" s="2184"/>
      <c r="G189" s="2184"/>
      <c r="H189" s="2184"/>
      <c r="I189" s="2185"/>
      <c r="J189" s="2186"/>
      <c r="K189" s="2186"/>
      <c r="L189" s="2186"/>
      <c r="M189" s="2187"/>
    </row>
    <row r="190" spans="1:13">
      <c r="A190" s="2191"/>
      <c r="B190" s="2187"/>
      <c r="C190" s="2186"/>
      <c r="D190" s="2186"/>
      <c r="E190" s="2183"/>
      <c r="F190" s="2184"/>
      <c r="G190" s="2184"/>
      <c r="H190" s="2184"/>
      <c r="I190" s="2185"/>
      <c r="J190" s="2186"/>
      <c r="K190" s="2186"/>
      <c r="L190" s="2186"/>
      <c r="M190" s="2187"/>
    </row>
    <row r="191" spans="1:13">
      <c r="A191" s="2191"/>
      <c r="B191" s="2187"/>
      <c r="C191" s="2186"/>
      <c r="D191" s="2186"/>
      <c r="E191" s="2183"/>
      <c r="F191" s="2184"/>
      <c r="G191" s="2184"/>
      <c r="H191" s="2184"/>
      <c r="I191" s="2185"/>
      <c r="J191" s="2186"/>
      <c r="K191" s="2186"/>
      <c r="L191" s="2186"/>
      <c r="M191" s="2187"/>
    </row>
    <row r="192" spans="1:13">
      <c r="A192" s="2191"/>
      <c r="B192" s="2187"/>
      <c r="C192" s="2186"/>
      <c r="D192" s="2186"/>
      <c r="E192" s="2183"/>
      <c r="F192" s="2184"/>
      <c r="G192" s="2184"/>
      <c r="H192" s="2184"/>
      <c r="I192" s="2185"/>
      <c r="J192" s="2186"/>
      <c r="K192" s="2186"/>
      <c r="L192" s="2186"/>
      <c r="M192" s="2187"/>
    </row>
    <row r="193" spans="1:13">
      <c r="A193" s="2191"/>
      <c r="B193" s="2187"/>
      <c r="C193" s="2186"/>
      <c r="D193" s="2186"/>
      <c r="E193" s="2183"/>
      <c r="F193" s="2184"/>
      <c r="G193" s="2184"/>
      <c r="H193" s="2184"/>
      <c r="I193" s="2185"/>
      <c r="J193" s="2186"/>
      <c r="K193" s="2186"/>
      <c r="L193" s="2186"/>
      <c r="M193" s="2187"/>
    </row>
    <row r="194" spans="1:13">
      <c r="A194" s="2191"/>
      <c r="B194" s="2187"/>
      <c r="C194" s="2186"/>
      <c r="D194" s="2186"/>
      <c r="E194" s="2183"/>
      <c r="F194" s="2184"/>
      <c r="G194" s="2184"/>
      <c r="H194" s="2184"/>
      <c r="I194" s="2185"/>
      <c r="J194" s="2186"/>
      <c r="K194" s="2186"/>
      <c r="L194" s="2186"/>
      <c r="M194" s="2187"/>
    </row>
    <row r="195" spans="1:13">
      <c r="A195" s="2191"/>
      <c r="B195" s="2187"/>
      <c r="C195" s="2186"/>
      <c r="D195" s="2186"/>
      <c r="E195" s="2183"/>
      <c r="F195" s="2184"/>
      <c r="G195" s="2184"/>
      <c r="H195" s="2184"/>
      <c r="I195" s="2185"/>
      <c r="J195" s="2186"/>
      <c r="K195" s="2186"/>
      <c r="L195" s="2186"/>
      <c r="M195" s="2187"/>
    </row>
    <row r="196" spans="1:13">
      <c r="A196" s="2191"/>
      <c r="B196" s="2187"/>
      <c r="C196" s="2186"/>
      <c r="D196" s="2186"/>
      <c r="E196" s="2183"/>
      <c r="F196" s="2184"/>
      <c r="G196" s="2184"/>
      <c r="H196" s="2184"/>
      <c r="I196" s="2185"/>
      <c r="J196" s="2186"/>
      <c r="K196" s="2186"/>
      <c r="L196" s="2186"/>
      <c r="M196" s="2187"/>
    </row>
    <row r="197" spans="1:13">
      <c r="A197" s="2191"/>
      <c r="B197" s="2187"/>
      <c r="C197" s="2186"/>
      <c r="D197" s="2186"/>
      <c r="E197" s="2183"/>
      <c r="F197" s="2184"/>
      <c r="G197" s="2184"/>
      <c r="H197" s="2184"/>
      <c r="I197" s="2185"/>
      <c r="J197" s="2186"/>
      <c r="K197" s="2186"/>
      <c r="L197" s="2186"/>
      <c r="M197" s="2187"/>
    </row>
    <row r="198" spans="1:13" ht="13.8" thickBot="1">
      <c r="A198" s="2216"/>
      <c r="B198" s="2217"/>
      <c r="C198" s="2186"/>
      <c r="D198" s="2186"/>
      <c r="E198" s="2188"/>
      <c r="F198" s="2189"/>
      <c r="G198" s="2189"/>
      <c r="H198" s="2189"/>
      <c r="I198" s="2190"/>
      <c r="J198" s="2186"/>
      <c r="K198" s="2186"/>
      <c r="L198" s="2186"/>
      <c r="M198" s="2187"/>
    </row>
  </sheetData>
  <sheetProtection algorithmName="SHA-512" hashValue="65ikWPHeeb89zQrCJrtGRW/xcXVJvqj9cSNoXvkQAWpWQcJGQHk4l0wjV78lcRFvggiLI8la5BHWmUjh9TEZgg==" saltValue="+BcATOKcM/2nrr8UqRUkgw==" spinCount="100000" sheet="1" objects="1" scenarios="1"/>
  <mergeCells count="773">
    <mergeCell ref="E14:I14"/>
    <mergeCell ref="J14:M14"/>
    <mergeCell ref="A12:B12"/>
    <mergeCell ref="C12:D12"/>
    <mergeCell ref="E12:I12"/>
    <mergeCell ref="J12:M12"/>
    <mergeCell ref="A13:B13"/>
    <mergeCell ref="C13:D13"/>
    <mergeCell ref="E13:I13"/>
    <mergeCell ref="J13:M13"/>
    <mergeCell ref="A11:B11"/>
    <mergeCell ref="C11:D11"/>
    <mergeCell ref="E11:I11"/>
    <mergeCell ref="J11:M11"/>
    <mergeCell ref="A197:B197"/>
    <mergeCell ref="C197:D197"/>
    <mergeCell ref="E197:I197"/>
    <mergeCell ref="J197:M197"/>
    <mergeCell ref="A193:B193"/>
    <mergeCell ref="C193:D193"/>
    <mergeCell ref="E193:I193"/>
    <mergeCell ref="J193:M193"/>
    <mergeCell ref="A194:B194"/>
    <mergeCell ref="C194:D194"/>
    <mergeCell ref="E194:I194"/>
    <mergeCell ref="J194:M194"/>
    <mergeCell ref="A191:B191"/>
    <mergeCell ref="C191:D191"/>
    <mergeCell ref="E191:I191"/>
    <mergeCell ref="J191:M191"/>
    <mergeCell ref="A192:B192"/>
    <mergeCell ref="C192:D192"/>
    <mergeCell ref="A14:B14"/>
    <mergeCell ref="C14:D14"/>
    <mergeCell ref="A198:B198"/>
    <mergeCell ref="C198:D198"/>
    <mergeCell ref="E198:I198"/>
    <mergeCell ref="J198:M198"/>
    <mergeCell ref="A195:B195"/>
    <mergeCell ref="C195:D195"/>
    <mergeCell ref="E195:I195"/>
    <mergeCell ref="J195:M195"/>
    <mergeCell ref="A196:B196"/>
    <mergeCell ref="C196:D196"/>
    <mergeCell ref="E196:I196"/>
    <mergeCell ref="J196:M196"/>
    <mergeCell ref="E192:I192"/>
    <mergeCell ref="J192:M192"/>
    <mergeCell ref="A189:B189"/>
    <mergeCell ref="C189:D189"/>
    <mergeCell ref="E189:I189"/>
    <mergeCell ref="J189:M189"/>
    <mergeCell ref="A190:B190"/>
    <mergeCell ref="C190:D190"/>
    <mergeCell ref="E190:I190"/>
    <mergeCell ref="J190:M190"/>
    <mergeCell ref="A187:B187"/>
    <mergeCell ref="C187:D187"/>
    <mergeCell ref="E187:I187"/>
    <mergeCell ref="J187:M187"/>
    <mergeCell ref="A188:B188"/>
    <mergeCell ref="C188:D188"/>
    <mergeCell ref="E188:I188"/>
    <mergeCell ref="J188:M188"/>
    <mergeCell ref="A185:B185"/>
    <mergeCell ref="C185:D185"/>
    <mergeCell ref="E185:I185"/>
    <mergeCell ref="J185:M185"/>
    <mergeCell ref="A186:B186"/>
    <mergeCell ref="C186:D186"/>
    <mergeCell ref="E186:I186"/>
    <mergeCell ref="J186:M186"/>
    <mergeCell ref="A183:B183"/>
    <mergeCell ref="C183:D183"/>
    <mergeCell ref="E183:I183"/>
    <mergeCell ref="J183:M183"/>
    <mergeCell ref="A184:B184"/>
    <mergeCell ref="C184:D184"/>
    <mergeCell ref="E184:I184"/>
    <mergeCell ref="J184:M184"/>
    <mergeCell ref="A181:B181"/>
    <mergeCell ref="C181:D181"/>
    <mergeCell ref="E181:I181"/>
    <mergeCell ref="J181:M181"/>
    <mergeCell ref="A182:B182"/>
    <mergeCell ref="C182:D182"/>
    <mergeCell ref="E182:I182"/>
    <mergeCell ref="J182:M182"/>
    <mergeCell ref="A179:B179"/>
    <mergeCell ref="C179:D179"/>
    <mergeCell ref="E179:I179"/>
    <mergeCell ref="J179:M179"/>
    <mergeCell ref="A180:B180"/>
    <mergeCell ref="C180:D180"/>
    <mergeCell ref="E180:I180"/>
    <mergeCell ref="J180:M180"/>
    <mergeCell ref="A177:B177"/>
    <mergeCell ref="C177:D177"/>
    <mergeCell ref="E177:I177"/>
    <mergeCell ref="J177:M177"/>
    <mergeCell ref="A178:B178"/>
    <mergeCell ref="C178:D178"/>
    <mergeCell ref="E178:I178"/>
    <mergeCell ref="J178:M178"/>
    <mergeCell ref="A175:B175"/>
    <mergeCell ref="C175:D175"/>
    <mergeCell ref="E175:I175"/>
    <mergeCell ref="J175:M175"/>
    <mergeCell ref="A176:B176"/>
    <mergeCell ref="C176:D176"/>
    <mergeCell ref="E176:I176"/>
    <mergeCell ref="J176:M176"/>
    <mergeCell ref="A173:B173"/>
    <mergeCell ref="C173:D173"/>
    <mergeCell ref="E173:I173"/>
    <mergeCell ref="J173:M173"/>
    <mergeCell ref="A174:B174"/>
    <mergeCell ref="C174:D174"/>
    <mergeCell ref="E174:I174"/>
    <mergeCell ref="J174:M174"/>
    <mergeCell ref="A171:B171"/>
    <mergeCell ref="C171:D171"/>
    <mergeCell ref="E171:I171"/>
    <mergeCell ref="J171:M171"/>
    <mergeCell ref="A172:B172"/>
    <mergeCell ref="C172:D172"/>
    <mergeCell ref="E172:I172"/>
    <mergeCell ref="J172:M172"/>
    <mergeCell ref="A169:B169"/>
    <mergeCell ref="C169:D169"/>
    <mergeCell ref="E169:I169"/>
    <mergeCell ref="J169:M169"/>
    <mergeCell ref="A170:B170"/>
    <mergeCell ref="C170:D170"/>
    <mergeCell ref="E170:I170"/>
    <mergeCell ref="J170:M170"/>
    <mergeCell ref="A167:B167"/>
    <mergeCell ref="C167:D167"/>
    <mergeCell ref="E167:I167"/>
    <mergeCell ref="J167:M167"/>
    <mergeCell ref="A168:B168"/>
    <mergeCell ref="C168:D168"/>
    <mergeCell ref="E168:I168"/>
    <mergeCell ref="J168:M168"/>
    <mergeCell ref="A165:B165"/>
    <mergeCell ref="C165:D165"/>
    <mergeCell ref="E165:I165"/>
    <mergeCell ref="J165:M165"/>
    <mergeCell ref="A166:B166"/>
    <mergeCell ref="C166:D166"/>
    <mergeCell ref="E166:I166"/>
    <mergeCell ref="J166:M166"/>
    <mergeCell ref="A163:B163"/>
    <mergeCell ref="C163:D163"/>
    <mergeCell ref="E163:I163"/>
    <mergeCell ref="J163:M163"/>
    <mergeCell ref="A164:B164"/>
    <mergeCell ref="C164:D164"/>
    <mergeCell ref="E164:I164"/>
    <mergeCell ref="J164:M164"/>
    <mergeCell ref="A161:B161"/>
    <mergeCell ref="C161:D161"/>
    <mergeCell ref="E161:I161"/>
    <mergeCell ref="J161:M161"/>
    <mergeCell ref="A162:B162"/>
    <mergeCell ref="C162:D162"/>
    <mergeCell ref="E162:I162"/>
    <mergeCell ref="J162:M162"/>
    <mergeCell ref="A159:B159"/>
    <mergeCell ref="C159:D159"/>
    <mergeCell ref="E159:I159"/>
    <mergeCell ref="J159:M159"/>
    <mergeCell ref="A160:B160"/>
    <mergeCell ref="C160:D160"/>
    <mergeCell ref="E160:I160"/>
    <mergeCell ref="J160:M160"/>
    <mergeCell ref="A157:B157"/>
    <mergeCell ref="C157:D157"/>
    <mergeCell ref="E157:I157"/>
    <mergeCell ref="J157:M157"/>
    <mergeCell ref="A158:B158"/>
    <mergeCell ref="C158:D158"/>
    <mergeCell ref="E158:I158"/>
    <mergeCell ref="J158:M158"/>
    <mergeCell ref="A155:B155"/>
    <mergeCell ref="C155:D155"/>
    <mergeCell ref="E155:I155"/>
    <mergeCell ref="J155:M155"/>
    <mergeCell ref="A156:B156"/>
    <mergeCell ref="C156:D156"/>
    <mergeCell ref="E156:I156"/>
    <mergeCell ref="J156:M156"/>
    <mergeCell ref="A153:B153"/>
    <mergeCell ref="C153:D153"/>
    <mergeCell ref="E153:I153"/>
    <mergeCell ref="J153:M153"/>
    <mergeCell ref="A154:B154"/>
    <mergeCell ref="C154:D154"/>
    <mergeCell ref="E154:I154"/>
    <mergeCell ref="J154:M154"/>
    <mergeCell ref="A151:B151"/>
    <mergeCell ref="C151:D151"/>
    <mergeCell ref="E151:I151"/>
    <mergeCell ref="J151:M151"/>
    <mergeCell ref="A152:B152"/>
    <mergeCell ref="C152:D152"/>
    <mergeCell ref="E152:I152"/>
    <mergeCell ref="J152:M152"/>
    <mergeCell ref="A149:B149"/>
    <mergeCell ref="C149:D149"/>
    <mergeCell ref="E149:I149"/>
    <mergeCell ref="J149:M149"/>
    <mergeCell ref="A150:B150"/>
    <mergeCell ref="C150:D150"/>
    <mergeCell ref="E150:I150"/>
    <mergeCell ref="J150:M150"/>
    <mergeCell ref="A147:B147"/>
    <mergeCell ref="C147:D147"/>
    <mergeCell ref="E147:I147"/>
    <mergeCell ref="J147:M147"/>
    <mergeCell ref="A148:B148"/>
    <mergeCell ref="C148:D148"/>
    <mergeCell ref="E148:I148"/>
    <mergeCell ref="J148:M148"/>
    <mergeCell ref="A145:B145"/>
    <mergeCell ref="C145:D145"/>
    <mergeCell ref="E145:I145"/>
    <mergeCell ref="J145:M145"/>
    <mergeCell ref="A146:B146"/>
    <mergeCell ref="C146:D146"/>
    <mergeCell ref="E146:I146"/>
    <mergeCell ref="J146:M146"/>
    <mergeCell ref="A143:B143"/>
    <mergeCell ref="C143:D143"/>
    <mergeCell ref="E143:I143"/>
    <mergeCell ref="J143:M143"/>
    <mergeCell ref="A144:B144"/>
    <mergeCell ref="C144:D144"/>
    <mergeCell ref="E144:I144"/>
    <mergeCell ref="J144:M144"/>
    <mergeCell ref="A141:B141"/>
    <mergeCell ref="C141:D141"/>
    <mergeCell ref="E141:I141"/>
    <mergeCell ref="J141:M141"/>
    <mergeCell ref="A142:B142"/>
    <mergeCell ref="C142:D142"/>
    <mergeCell ref="E142:I142"/>
    <mergeCell ref="J142:M142"/>
    <mergeCell ref="A139:B139"/>
    <mergeCell ref="C139:D139"/>
    <mergeCell ref="E139:I139"/>
    <mergeCell ref="J139:M139"/>
    <mergeCell ref="A140:B140"/>
    <mergeCell ref="C140:D140"/>
    <mergeCell ref="E140:I140"/>
    <mergeCell ref="J140:M140"/>
    <mergeCell ref="A137:B137"/>
    <mergeCell ref="C137:D137"/>
    <mergeCell ref="E137:I137"/>
    <mergeCell ref="J137:M137"/>
    <mergeCell ref="A138:B138"/>
    <mergeCell ref="C138:D138"/>
    <mergeCell ref="E138:I138"/>
    <mergeCell ref="J138:M138"/>
    <mergeCell ref="A135:B135"/>
    <mergeCell ref="C135:D135"/>
    <mergeCell ref="E135:I135"/>
    <mergeCell ref="J135:M135"/>
    <mergeCell ref="A136:B136"/>
    <mergeCell ref="C136:D136"/>
    <mergeCell ref="E136:I136"/>
    <mergeCell ref="J136:M136"/>
    <mergeCell ref="A133:B133"/>
    <mergeCell ref="C133:D133"/>
    <mergeCell ref="E133:I133"/>
    <mergeCell ref="J133:M133"/>
    <mergeCell ref="A134:B134"/>
    <mergeCell ref="C134:D134"/>
    <mergeCell ref="E134:I134"/>
    <mergeCell ref="J134:M134"/>
    <mergeCell ref="A131:B131"/>
    <mergeCell ref="C131:D131"/>
    <mergeCell ref="E131:I131"/>
    <mergeCell ref="J131:M131"/>
    <mergeCell ref="A132:B132"/>
    <mergeCell ref="C132:D132"/>
    <mergeCell ref="E132:I132"/>
    <mergeCell ref="J132:M132"/>
    <mergeCell ref="A129:B129"/>
    <mergeCell ref="C129:D129"/>
    <mergeCell ref="E129:I129"/>
    <mergeCell ref="J129:M129"/>
    <mergeCell ref="A130:B130"/>
    <mergeCell ref="C130:D130"/>
    <mergeCell ref="E130:I130"/>
    <mergeCell ref="J130:M130"/>
    <mergeCell ref="A127:B127"/>
    <mergeCell ref="C127:D127"/>
    <mergeCell ref="E127:I127"/>
    <mergeCell ref="J127:M127"/>
    <mergeCell ref="A128:B128"/>
    <mergeCell ref="C128:D128"/>
    <mergeCell ref="E128:I128"/>
    <mergeCell ref="J128:M128"/>
    <mergeCell ref="A125:B125"/>
    <mergeCell ref="C125:D125"/>
    <mergeCell ref="E125:I125"/>
    <mergeCell ref="J125:M125"/>
    <mergeCell ref="A126:B126"/>
    <mergeCell ref="C126:D126"/>
    <mergeCell ref="E126:I126"/>
    <mergeCell ref="J126:M126"/>
    <mergeCell ref="A123:B123"/>
    <mergeCell ref="C123:D123"/>
    <mergeCell ref="E123:I123"/>
    <mergeCell ref="J123:M123"/>
    <mergeCell ref="A124:B124"/>
    <mergeCell ref="C124:D124"/>
    <mergeCell ref="E124:I124"/>
    <mergeCell ref="J124:M124"/>
    <mergeCell ref="A121:B121"/>
    <mergeCell ref="C121:D121"/>
    <mergeCell ref="E121:I121"/>
    <mergeCell ref="J121:M121"/>
    <mergeCell ref="A122:B122"/>
    <mergeCell ref="C122:D122"/>
    <mergeCell ref="E122:I122"/>
    <mergeCell ref="J122:M122"/>
    <mergeCell ref="A119:B119"/>
    <mergeCell ref="C119:D119"/>
    <mergeCell ref="E119:I119"/>
    <mergeCell ref="J119:M119"/>
    <mergeCell ref="A120:B120"/>
    <mergeCell ref="C120:D120"/>
    <mergeCell ref="E120:I120"/>
    <mergeCell ref="J120:M120"/>
    <mergeCell ref="A117:B117"/>
    <mergeCell ref="C117:D117"/>
    <mergeCell ref="E117:I117"/>
    <mergeCell ref="J117:M117"/>
    <mergeCell ref="A118:B118"/>
    <mergeCell ref="C118:D118"/>
    <mergeCell ref="E118:I118"/>
    <mergeCell ref="J118:M118"/>
    <mergeCell ref="A115:B115"/>
    <mergeCell ref="C115:D115"/>
    <mergeCell ref="E115:I115"/>
    <mergeCell ref="J115:M115"/>
    <mergeCell ref="A116:B116"/>
    <mergeCell ref="C116:D116"/>
    <mergeCell ref="E116:I116"/>
    <mergeCell ref="J116:M116"/>
    <mergeCell ref="A113:B113"/>
    <mergeCell ref="C113:D113"/>
    <mergeCell ref="E113:I113"/>
    <mergeCell ref="J113:M113"/>
    <mergeCell ref="A114:B114"/>
    <mergeCell ref="C114:D114"/>
    <mergeCell ref="E114:I114"/>
    <mergeCell ref="J114:M114"/>
    <mergeCell ref="A111:B111"/>
    <mergeCell ref="C111:D111"/>
    <mergeCell ref="E111:I111"/>
    <mergeCell ref="J111:M111"/>
    <mergeCell ref="A112:B112"/>
    <mergeCell ref="C112:D112"/>
    <mergeCell ref="E112:I112"/>
    <mergeCell ref="J112:M112"/>
    <mergeCell ref="A109:B109"/>
    <mergeCell ref="C109:D109"/>
    <mergeCell ref="E109:I109"/>
    <mergeCell ref="J109:M109"/>
    <mergeCell ref="A110:B110"/>
    <mergeCell ref="C110:D110"/>
    <mergeCell ref="E110:I110"/>
    <mergeCell ref="J110:M110"/>
    <mergeCell ref="A107:B107"/>
    <mergeCell ref="C107:D107"/>
    <mergeCell ref="E107:I107"/>
    <mergeCell ref="J107:M107"/>
    <mergeCell ref="A108:B108"/>
    <mergeCell ref="C108:D108"/>
    <mergeCell ref="E108:I108"/>
    <mergeCell ref="J108:M108"/>
    <mergeCell ref="A105:B105"/>
    <mergeCell ref="C105:D105"/>
    <mergeCell ref="E105:I105"/>
    <mergeCell ref="J105:M105"/>
    <mergeCell ref="A106:B106"/>
    <mergeCell ref="C106:D106"/>
    <mergeCell ref="E106:I106"/>
    <mergeCell ref="J106:M106"/>
    <mergeCell ref="A103:B103"/>
    <mergeCell ref="C103:D103"/>
    <mergeCell ref="E103:I103"/>
    <mergeCell ref="J103:M103"/>
    <mergeCell ref="A104:B104"/>
    <mergeCell ref="C104:D104"/>
    <mergeCell ref="E104:I104"/>
    <mergeCell ref="J104:M104"/>
    <mergeCell ref="A101:B101"/>
    <mergeCell ref="C101:D101"/>
    <mergeCell ref="E101:I101"/>
    <mergeCell ref="J101:M101"/>
    <mergeCell ref="A102:B102"/>
    <mergeCell ref="C102:D102"/>
    <mergeCell ref="E102:I102"/>
    <mergeCell ref="J102:M102"/>
    <mergeCell ref="A99:B99"/>
    <mergeCell ref="C99:D99"/>
    <mergeCell ref="E99:I99"/>
    <mergeCell ref="J99:M99"/>
    <mergeCell ref="A100:B100"/>
    <mergeCell ref="C100:D100"/>
    <mergeCell ref="E100:I100"/>
    <mergeCell ref="J100:M100"/>
    <mergeCell ref="A97:B97"/>
    <mergeCell ref="C97:D97"/>
    <mergeCell ref="E97:I97"/>
    <mergeCell ref="J97:M97"/>
    <mergeCell ref="A98:B98"/>
    <mergeCell ref="C98:D98"/>
    <mergeCell ref="E98:I98"/>
    <mergeCell ref="J98:M98"/>
    <mergeCell ref="A95:B95"/>
    <mergeCell ref="C95:D95"/>
    <mergeCell ref="E95:I95"/>
    <mergeCell ref="J95:M95"/>
    <mergeCell ref="A96:B96"/>
    <mergeCell ref="C96:D96"/>
    <mergeCell ref="E96:I96"/>
    <mergeCell ref="J96:M96"/>
    <mergeCell ref="A93:B93"/>
    <mergeCell ref="C93:D93"/>
    <mergeCell ref="E93:I93"/>
    <mergeCell ref="J93:M93"/>
    <mergeCell ref="A94:B94"/>
    <mergeCell ref="C94:D94"/>
    <mergeCell ref="E94:I94"/>
    <mergeCell ref="J94:M94"/>
    <mergeCell ref="A91:B91"/>
    <mergeCell ref="C91:D91"/>
    <mergeCell ref="E91:I91"/>
    <mergeCell ref="J91:M91"/>
    <mergeCell ref="A92:B92"/>
    <mergeCell ref="C92:D92"/>
    <mergeCell ref="E92:I92"/>
    <mergeCell ref="J92:M92"/>
    <mergeCell ref="A89:B89"/>
    <mergeCell ref="C89:D89"/>
    <mergeCell ref="E89:I89"/>
    <mergeCell ref="J89:M89"/>
    <mergeCell ref="A90:B90"/>
    <mergeCell ref="C90:D90"/>
    <mergeCell ref="E90:I90"/>
    <mergeCell ref="J90:M90"/>
    <mergeCell ref="A87:B87"/>
    <mergeCell ref="C87:D87"/>
    <mergeCell ref="E87:I87"/>
    <mergeCell ref="J87:M87"/>
    <mergeCell ref="A88:B88"/>
    <mergeCell ref="C88:D88"/>
    <mergeCell ref="E88:I88"/>
    <mergeCell ref="J88:M88"/>
    <mergeCell ref="A85:B85"/>
    <mergeCell ref="C85:D85"/>
    <mergeCell ref="E85:I85"/>
    <mergeCell ref="J85:M85"/>
    <mergeCell ref="A86:B86"/>
    <mergeCell ref="C86:D86"/>
    <mergeCell ref="E86:I86"/>
    <mergeCell ref="J86:M86"/>
    <mergeCell ref="A83:B83"/>
    <mergeCell ref="C83:D83"/>
    <mergeCell ref="E83:I83"/>
    <mergeCell ref="J83:M83"/>
    <mergeCell ref="A84:B84"/>
    <mergeCell ref="C84:D84"/>
    <mergeCell ref="E84:I84"/>
    <mergeCell ref="J84:M84"/>
    <mergeCell ref="A81:B81"/>
    <mergeCell ref="C81:D81"/>
    <mergeCell ref="E81:I81"/>
    <mergeCell ref="J81:M81"/>
    <mergeCell ref="A82:B82"/>
    <mergeCell ref="C82:D82"/>
    <mergeCell ref="E82:I82"/>
    <mergeCell ref="J82:M82"/>
    <mergeCell ref="A79:B79"/>
    <mergeCell ref="C79:D79"/>
    <mergeCell ref="E79:I79"/>
    <mergeCell ref="J79:M79"/>
    <mergeCell ref="A80:B80"/>
    <mergeCell ref="C80:D80"/>
    <mergeCell ref="E80:I80"/>
    <mergeCell ref="J80:M80"/>
    <mergeCell ref="A78:B78"/>
    <mergeCell ref="C78:D78"/>
    <mergeCell ref="E78:I78"/>
    <mergeCell ref="J78:M78"/>
    <mergeCell ref="A77:B77"/>
    <mergeCell ref="C77:D77"/>
    <mergeCell ref="E77:I77"/>
    <mergeCell ref="J77:M77"/>
    <mergeCell ref="A75:B75"/>
    <mergeCell ref="C75:D75"/>
    <mergeCell ref="E75:I75"/>
    <mergeCell ref="J75:M75"/>
    <mergeCell ref="A76:B76"/>
    <mergeCell ref="C76:D76"/>
    <mergeCell ref="E76:I76"/>
    <mergeCell ref="J76:M76"/>
    <mergeCell ref="A73:B73"/>
    <mergeCell ref="C73:D73"/>
    <mergeCell ref="E73:I73"/>
    <mergeCell ref="J73:M73"/>
    <mergeCell ref="A74:B74"/>
    <mergeCell ref="C74:D74"/>
    <mergeCell ref="E74:I74"/>
    <mergeCell ref="J74:M74"/>
    <mergeCell ref="A71:B71"/>
    <mergeCell ref="C71:D71"/>
    <mergeCell ref="E71:I71"/>
    <mergeCell ref="J71:M71"/>
    <mergeCell ref="A72:B72"/>
    <mergeCell ref="C72:D72"/>
    <mergeCell ref="E72:I72"/>
    <mergeCell ref="J72:M72"/>
    <mergeCell ref="A69:B69"/>
    <mergeCell ref="C69:D69"/>
    <mergeCell ref="E69:I69"/>
    <mergeCell ref="J69:M69"/>
    <mergeCell ref="A70:B70"/>
    <mergeCell ref="C70:D70"/>
    <mergeCell ref="E70:I70"/>
    <mergeCell ref="J70:M70"/>
    <mergeCell ref="A67:B67"/>
    <mergeCell ref="C67:D67"/>
    <mergeCell ref="E67:I67"/>
    <mergeCell ref="J67:M67"/>
    <mergeCell ref="A68:B68"/>
    <mergeCell ref="C68:D68"/>
    <mergeCell ref="E68:I68"/>
    <mergeCell ref="J68:M68"/>
    <mergeCell ref="A65:B65"/>
    <mergeCell ref="C65:D65"/>
    <mergeCell ref="E65:I65"/>
    <mergeCell ref="J65:M65"/>
    <mergeCell ref="A66:B66"/>
    <mergeCell ref="C66:D66"/>
    <mergeCell ref="E66:I66"/>
    <mergeCell ref="J66:M66"/>
    <mergeCell ref="A63:B63"/>
    <mergeCell ref="C63:D63"/>
    <mergeCell ref="E63:I63"/>
    <mergeCell ref="J63:M63"/>
    <mergeCell ref="A64:B64"/>
    <mergeCell ref="C64:D64"/>
    <mergeCell ref="E64:I64"/>
    <mergeCell ref="J64:M64"/>
    <mergeCell ref="A61:B61"/>
    <mergeCell ref="C61:D61"/>
    <mergeCell ref="E61:I61"/>
    <mergeCell ref="J61:M61"/>
    <mergeCell ref="A62:B62"/>
    <mergeCell ref="C62:D62"/>
    <mergeCell ref="E62:I62"/>
    <mergeCell ref="J62:M62"/>
    <mergeCell ref="A59:B59"/>
    <mergeCell ref="C59:D59"/>
    <mergeCell ref="E59:I59"/>
    <mergeCell ref="J59:M59"/>
    <mergeCell ref="A60:B60"/>
    <mergeCell ref="C60:D60"/>
    <mergeCell ref="E60:I60"/>
    <mergeCell ref="J60:M60"/>
    <mergeCell ref="A57:B57"/>
    <mergeCell ref="C57:D57"/>
    <mergeCell ref="E57:I57"/>
    <mergeCell ref="J57:M57"/>
    <mergeCell ref="A58:B58"/>
    <mergeCell ref="C58:D58"/>
    <mergeCell ref="E58:I58"/>
    <mergeCell ref="J58:M58"/>
    <mergeCell ref="A55:B55"/>
    <mergeCell ref="C55:D55"/>
    <mergeCell ref="E55:I55"/>
    <mergeCell ref="J55:M55"/>
    <mergeCell ref="A56:B56"/>
    <mergeCell ref="C56:D56"/>
    <mergeCell ref="E56:I56"/>
    <mergeCell ref="J56:M56"/>
    <mergeCell ref="A53:B53"/>
    <mergeCell ref="C53:D53"/>
    <mergeCell ref="E53:I53"/>
    <mergeCell ref="J53:M53"/>
    <mergeCell ref="A54:B54"/>
    <mergeCell ref="C54:D54"/>
    <mergeCell ref="E54:I54"/>
    <mergeCell ref="J54:M54"/>
    <mergeCell ref="A51:B51"/>
    <mergeCell ref="C51:D51"/>
    <mergeCell ref="E51:I51"/>
    <mergeCell ref="J51:M51"/>
    <mergeCell ref="A52:B52"/>
    <mergeCell ref="C52:D52"/>
    <mergeCell ref="E52:I52"/>
    <mergeCell ref="J52:M52"/>
    <mergeCell ref="A49:B49"/>
    <mergeCell ref="C49:D49"/>
    <mergeCell ref="E49:I49"/>
    <mergeCell ref="J49:M49"/>
    <mergeCell ref="A50:B50"/>
    <mergeCell ref="C50:D50"/>
    <mergeCell ref="E50:I50"/>
    <mergeCell ref="J50:M50"/>
    <mergeCell ref="A47:B47"/>
    <mergeCell ref="C47:D47"/>
    <mergeCell ref="E47:I47"/>
    <mergeCell ref="J47:M47"/>
    <mergeCell ref="A48:B48"/>
    <mergeCell ref="C48:D48"/>
    <mergeCell ref="E48:I48"/>
    <mergeCell ref="J48:M48"/>
    <mergeCell ref="A45:B45"/>
    <mergeCell ref="C45:D45"/>
    <mergeCell ref="E45:I45"/>
    <mergeCell ref="J45:M45"/>
    <mergeCell ref="A46:B46"/>
    <mergeCell ref="C46:D46"/>
    <mergeCell ref="E46:I46"/>
    <mergeCell ref="J46:M46"/>
    <mergeCell ref="A43:B43"/>
    <mergeCell ref="C43:D43"/>
    <mergeCell ref="E43:I43"/>
    <mergeCell ref="J43:M43"/>
    <mergeCell ref="A44:B44"/>
    <mergeCell ref="C44:D44"/>
    <mergeCell ref="E44:I44"/>
    <mergeCell ref="J44:M44"/>
    <mergeCell ref="A41:B41"/>
    <mergeCell ref="C41:D41"/>
    <mergeCell ref="E41:I41"/>
    <mergeCell ref="J41:M41"/>
    <mergeCell ref="A42:B42"/>
    <mergeCell ref="C42:D42"/>
    <mergeCell ref="E42:I42"/>
    <mergeCell ref="J42:M42"/>
    <mergeCell ref="A39:B39"/>
    <mergeCell ref="C39:D39"/>
    <mergeCell ref="E39:I39"/>
    <mergeCell ref="J39:M39"/>
    <mergeCell ref="A40:B40"/>
    <mergeCell ref="C40:D40"/>
    <mergeCell ref="E40:I40"/>
    <mergeCell ref="J40:M40"/>
    <mergeCell ref="A37:B37"/>
    <mergeCell ref="C37:D37"/>
    <mergeCell ref="E37:I37"/>
    <mergeCell ref="J37:M37"/>
    <mergeCell ref="A38:B38"/>
    <mergeCell ref="C38:D38"/>
    <mergeCell ref="E38:I38"/>
    <mergeCell ref="J38:M38"/>
    <mergeCell ref="A35:B35"/>
    <mergeCell ref="C35:D35"/>
    <mergeCell ref="E35:I35"/>
    <mergeCell ref="J35:M35"/>
    <mergeCell ref="A36:B36"/>
    <mergeCell ref="C36:D36"/>
    <mergeCell ref="E36:I36"/>
    <mergeCell ref="J36:M36"/>
    <mergeCell ref="A33:B33"/>
    <mergeCell ref="C33:D33"/>
    <mergeCell ref="E33:I33"/>
    <mergeCell ref="J33:M33"/>
    <mergeCell ref="A34:B34"/>
    <mergeCell ref="C34:D34"/>
    <mergeCell ref="E34:I34"/>
    <mergeCell ref="J34:M34"/>
    <mergeCell ref="A31:B31"/>
    <mergeCell ref="C31:D31"/>
    <mergeCell ref="E31:I31"/>
    <mergeCell ref="J31:M31"/>
    <mergeCell ref="A32:B32"/>
    <mergeCell ref="C32:D32"/>
    <mergeCell ref="E32:I32"/>
    <mergeCell ref="J32:M32"/>
    <mergeCell ref="A29:B29"/>
    <mergeCell ref="C29:D29"/>
    <mergeCell ref="E29:I29"/>
    <mergeCell ref="J29:M29"/>
    <mergeCell ref="A30:B30"/>
    <mergeCell ref="C30:D30"/>
    <mergeCell ref="E30:I30"/>
    <mergeCell ref="J30:M30"/>
    <mergeCell ref="A27:B27"/>
    <mergeCell ref="C27:D27"/>
    <mergeCell ref="E27:I27"/>
    <mergeCell ref="J27:M27"/>
    <mergeCell ref="A28:B28"/>
    <mergeCell ref="C28:D28"/>
    <mergeCell ref="E28:I28"/>
    <mergeCell ref="J28:M28"/>
    <mergeCell ref="A25:B25"/>
    <mergeCell ref="C25:D25"/>
    <mergeCell ref="E25:I25"/>
    <mergeCell ref="J25:M25"/>
    <mergeCell ref="A26:B26"/>
    <mergeCell ref="C26:D26"/>
    <mergeCell ref="E26:I26"/>
    <mergeCell ref="J26:M26"/>
    <mergeCell ref="A23:B23"/>
    <mergeCell ref="C23:D23"/>
    <mergeCell ref="E23:I23"/>
    <mergeCell ref="J23:M23"/>
    <mergeCell ref="A24:B24"/>
    <mergeCell ref="C24:D24"/>
    <mergeCell ref="E24:I24"/>
    <mergeCell ref="J24:M24"/>
    <mergeCell ref="A21:B21"/>
    <mergeCell ref="C21:D21"/>
    <mergeCell ref="E21:I21"/>
    <mergeCell ref="J21:M21"/>
    <mergeCell ref="A22:B22"/>
    <mergeCell ref="C22:D22"/>
    <mergeCell ref="E22:I22"/>
    <mergeCell ref="J22:M22"/>
    <mergeCell ref="A19:B19"/>
    <mergeCell ref="C19:D19"/>
    <mergeCell ref="E19:I19"/>
    <mergeCell ref="J19:M19"/>
    <mergeCell ref="A20:B20"/>
    <mergeCell ref="C20:D20"/>
    <mergeCell ref="E20:I20"/>
    <mergeCell ref="J20:M20"/>
    <mergeCell ref="A17:B17"/>
    <mergeCell ref="C17:D17"/>
    <mergeCell ref="E17:I17"/>
    <mergeCell ref="J17:M17"/>
    <mergeCell ref="A18:B18"/>
    <mergeCell ref="C18:D18"/>
    <mergeCell ref="E18:I18"/>
    <mergeCell ref="J18:M18"/>
    <mergeCell ref="A15:B15"/>
    <mergeCell ref="C15:D15"/>
    <mergeCell ref="E15:I15"/>
    <mergeCell ref="J15:M15"/>
    <mergeCell ref="A16:B16"/>
    <mergeCell ref="C16:D16"/>
    <mergeCell ref="E16:I16"/>
    <mergeCell ref="J16:M16"/>
    <mergeCell ref="A10:B10"/>
    <mergeCell ref="C10:D10"/>
    <mergeCell ref="A8:B8"/>
    <mergeCell ref="C8:D8"/>
    <mergeCell ref="E8:I8"/>
    <mergeCell ref="J8:M8"/>
    <mergeCell ref="A9:B9"/>
    <mergeCell ref="C9:D9"/>
    <mergeCell ref="E9:I9"/>
    <mergeCell ref="J9:M9"/>
    <mergeCell ref="E10:I10"/>
    <mergeCell ref="J10:M10"/>
    <mergeCell ref="A1:C1"/>
    <mergeCell ref="G1:I1"/>
    <mergeCell ref="A2:C2"/>
    <mergeCell ref="G2:I2"/>
    <mergeCell ref="A4:M6"/>
    <mergeCell ref="A7:B7"/>
    <mergeCell ref="C7:D7"/>
    <mergeCell ref="E7:I7"/>
    <mergeCell ref="J7:M7"/>
  </mergeCells>
  <pageMargins left="0.7" right="0.7" top="0.75" bottom="0.75" header="0.3" footer="0.3"/>
  <pageSetup orientation="portrait" horizontalDpi="3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pageSetUpPr fitToPage="1"/>
  </sheetPr>
  <dimension ref="A1:J86"/>
  <sheetViews>
    <sheetView topLeftCell="A46" zoomScale="30" zoomScaleNormal="30" zoomScaleSheetLayoutView="25" workbookViewId="0">
      <selection activeCell="G61" sqref="G61"/>
    </sheetView>
  </sheetViews>
  <sheetFormatPr defaultRowHeight="46.2"/>
  <cols>
    <col min="1" max="1" width="11.5546875" style="622" customWidth="1"/>
    <col min="2" max="2" width="13" style="623" bestFit="1" customWidth="1"/>
    <col min="3" max="3" width="48.6640625" style="624" customWidth="1"/>
    <col min="4" max="4" width="43.5546875" style="625" customWidth="1"/>
    <col min="5" max="5" width="43.44140625" style="626" customWidth="1"/>
    <col min="6" max="6" width="69.88671875" style="626" customWidth="1"/>
    <col min="7" max="7" width="163.5546875" style="624" customWidth="1"/>
    <col min="8" max="8" width="172.33203125" style="624" customWidth="1"/>
    <col min="9" max="9" width="71" style="624" customWidth="1"/>
    <col min="10" max="10" width="9.109375" style="627"/>
  </cols>
  <sheetData>
    <row r="1" spans="1:10" ht="46.8" thickBot="1"/>
    <row r="2" spans="1:10" ht="323.25" customHeight="1" thickBot="1">
      <c r="A2" s="628"/>
      <c r="B2" s="629" t="s">
        <v>1913</v>
      </c>
      <c r="C2" s="630" t="s">
        <v>1914</v>
      </c>
      <c r="D2" s="631" t="s">
        <v>1915</v>
      </c>
      <c r="E2" s="630" t="s">
        <v>1916</v>
      </c>
      <c r="F2" s="630" t="s">
        <v>27</v>
      </c>
      <c r="G2" s="630" t="s">
        <v>1917</v>
      </c>
      <c r="H2" s="630" t="s">
        <v>1918</v>
      </c>
      <c r="I2" s="632" t="s">
        <v>1919</v>
      </c>
      <c r="J2" s="628"/>
    </row>
    <row r="3" spans="1:10">
      <c r="A3" s="633"/>
      <c r="B3" s="634">
        <v>1</v>
      </c>
      <c r="C3" s="635"/>
      <c r="D3" s="636"/>
      <c r="E3" s="637" t="s">
        <v>1921</v>
      </c>
      <c r="F3" s="637"/>
      <c r="G3" s="635" t="s">
        <v>1922</v>
      </c>
      <c r="H3" s="635" t="s">
        <v>1923</v>
      </c>
      <c r="I3" s="638"/>
    </row>
    <row r="4" spans="1:10">
      <c r="A4" s="633"/>
      <c r="B4" s="634">
        <v>2</v>
      </c>
      <c r="C4" s="639"/>
      <c r="D4" s="640"/>
      <c r="E4" s="641" t="s">
        <v>459</v>
      </c>
      <c r="F4" s="641"/>
      <c r="G4" s="639" t="s">
        <v>1925</v>
      </c>
      <c r="H4" s="639" t="s">
        <v>1926</v>
      </c>
      <c r="I4" s="642"/>
    </row>
    <row r="5" spans="1:10">
      <c r="A5" s="633"/>
      <c r="B5" s="634">
        <v>3</v>
      </c>
      <c r="C5" s="643">
        <v>10</v>
      </c>
      <c r="D5" s="640"/>
      <c r="E5" s="639"/>
      <c r="F5" s="639"/>
      <c r="G5" s="639" t="s">
        <v>1928</v>
      </c>
      <c r="H5" s="639" t="s">
        <v>1929</v>
      </c>
      <c r="I5" s="642"/>
    </row>
    <row r="6" spans="1:10">
      <c r="A6" s="633"/>
      <c r="B6" s="634">
        <v>4</v>
      </c>
      <c r="C6" s="643">
        <v>10</v>
      </c>
      <c r="D6" s="640"/>
      <c r="E6" s="641"/>
      <c r="F6" s="641"/>
      <c r="G6" s="639" t="s">
        <v>1931</v>
      </c>
      <c r="H6" s="639" t="s">
        <v>2138</v>
      </c>
      <c r="I6" s="642"/>
    </row>
    <row r="7" spans="1:10" ht="92.4">
      <c r="A7" s="633"/>
      <c r="B7" s="634">
        <v>5</v>
      </c>
      <c r="C7" s="643">
        <v>10</v>
      </c>
      <c r="D7" s="640"/>
      <c r="E7" s="641"/>
      <c r="F7" s="641"/>
      <c r="G7" s="639" t="s">
        <v>2139</v>
      </c>
      <c r="H7" s="639" t="s">
        <v>2140</v>
      </c>
      <c r="I7" s="642"/>
    </row>
    <row r="8" spans="1:10" ht="92.4">
      <c r="A8" s="633"/>
      <c r="B8" s="634">
        <v>6</v>
      </c>
      <c r="C8" s="643">
        <v>10</v>
      </c>
      <c r="D8" s="640"/>
      <c r="E8" s="641"/>
      <c r="F8" s="641"/>
      <c r="G8" s="639" t="s">
        <v>2139</v>
      </c>
      <c r="H8" s="639" t="s">
        <v>2140</v>
      </c>
      <c r="I8" s="642"/>
    </row>
    <row r="9" spans="1:10">
      <c r="A9" s="633"/>
      <c r="B9" s="634">
        <v>7</v>
      </c>
      <c r="C9" s="639"/>
      <c r="D9" s="640"/>
      <c r="E9" s="641" t="s">
        <v>1398</v>
      </c>
      <c r="F9" s="733" t="e">
        <f ca="1">_50PP1</f>
        <v>#DIV/0!</v>
      </c>
      <c r="G9" s="639" t="s">
        <v>1938</v>
      </c>
      <c r="H9" s="639" t="s">
        <v>2141</v>
      </c>
      <c r="I9" s="642"/>
    </row>
    <row r="10" spans="1:10">
      <c r="A10" s="633"/>
      <c r="B10" s="634">
        <v>8</v>
      </c>
      <c r="C10" s="639"/>
      <c r="D10" s="640"/>
      <c r="E10" s="641" t="s">
        <v>1941</v>
      </c>
      <c r="F10" s="641" t="e">
        <f ca="1">_50P3P</f>
        <v>#DIV/0!</v>
      </c>
      <c r="G10" s="639" t="s">
        <v>1938</v>
      </c>
      <c r="H10" s="639" t="s">
        <v>2142</v>
      </c>
      <c r="I10" s="642"/>
    </row>
    <row r="11" spans="1:10" ht="92.4">
      <c r="A11" s="633"/>
      <c r="B11" s="634">
        <v>9</v>
      </c>
      <c r="C11" s="643" t="s">
        <v>1942</v>
      </c>
      <c r="D11" s="640"/>
      <c r="E11" s="641" t="s">
        <v>1778</v>
      </c>
      <c r="F11" s="641"/>
      <c r="G11" s="639" t="s">
        <v>1938</v>
      </c>
      <c r="H11" s="639" t="s">
        <v>2143</v>
      </c>
      <c r="I11" s="642"/>
    </row>
    <row r="12" spans="1:10">
      <c r="A12" s="633"/>
      <c r="B12" s="634">
        <v>10</v>
      </c>
      <c r="C12" s="643" t="s">
        <v>1945</v>
      </c>
      <c r="D12" s="640"/>
      <c r="E12" s="641"/>
      <c r="F12" s="641"/>
      <c r="G12" s="639" t="s">
        <v>1948</v>
      </c>
      <c r="H12" s="639" t="s">
        <v>2144</v>
      </c>
      <c r="I12" s="642"/>
    </row>
    <row r="13" spans="1:10">
      <c r="A13" s="633"/>
      <c r="B13" s="634">
        <v>11</v>
      </c>
      <c r="C13" s="643" t="s">
        <v>1945</v>
      </c>
      <c r="D13" s="640"/>
      <c r="E13" s="641" t="s">
        <v>2145</v>
      </c>
      <c r="F13" s="641" t="e">
        <f ca="1">_51S1P</f>
        <v>#DIV/0!</v>
      </c>
      <c r="G13" s="639" t="s">
        <v>2146</v>
      </c>
      <c r="H13" s="639" t="s">
        <v>2144</v>
      </c>
      <c r="I13" s="642"/>
    </row>
    <row r="14" spans="1:10">
      <c r="A14" s="633"/>
      <c r="B14" s="634">
        <v>12</v>
      </c>
      <c r="C14" s="643" t="s">
        <v>1952</v>
      </c>
      <c r="D14" s="640"/>
      <c r="E14" s="641" t="s">
        <v>629</v>
      </c>
      <c r="F14" s="641" t="e">
        <f ca="1">_50G2P</f>
        <v>#DIV/0!</v>
      </c>
      <c r="G14" s="639" t="s">
        <v>1948</v>
      </c>
      <c r="H14" s="639" t="s">
        <v>1954</v>
      </c>
      <c r="I14" s="642"/>
    </row>
    <row r="15" spans="1:10">
      <c r="A15" s="633"/>
      <c r="B15" s="634">
        <v>13</v>
      </c>
      <c r="C15" s="643">
        <v>8.1999999999999993</v>
      </c>
      <c r="D15" s="640"/>
      <c r="E15" s="641" t="s">
        <v>637</v>
      </c>
      <c r="F15" s="641"/>
      <c r="G15" s="639" t="s">
        <v>1948</v>
      </c>
      <c r="H15" s="639" t="s">
        <v>1954</v>
      </c>
      <c r="I15" s="642"/>
    </row>
    <row r="16" spans="1:10" ht="135" customHeight="1">
      <c r="A16" s="633"/>
      <c r="B16" s="634">
        <v>14</v>
      </c>
      <c r="C16" s="643" t="s">
        <v>1955</v>
      </c>
      <c r="D16" s="640"/>
      <c r="E16" s="641" t="s">
        <v>1334</v>
      </c>
      <c r="F16" s="641"/>
      <c r="G16" s="639" t="s">
        <v>1957</v>
      </c>
      <c r="H16" s="639" t="s">
        <v>2147</v>
      </c>
      <c r="I16" s="642"/>
    </row>
    <row r="17" spans="1:9" ht="135" customHeight="1">
      <c r="A17" s="633"/>
      <c r="B17" s="634">
        <v>15</v>
      </c>
      <c r="C17" s="643" t="s">
        <v>1955</v>
      </c>
      <c r="D17" s="640"/>
      <c r="E17" s="641"/>
      <c r="F17" s="641"/>
      <c r="G17" s="639" t="s">
        <v>1960</v>
      </c>
      <c r="H17" s="639" t="s">
        <v>2147</v>
      </c>
      <c r="I17" s="642"/>
    </row>
    <row r="18" spans="1:9" ht="135" customHeight="1">
      <c r="A18" s="633"/>
      <c r="B18" s="634">
        <v>16</v>
      </c>
      <c r="C18" s="643" t="s">
        <v>1955</v>
      </c>
      <c r="D18" s="640"/>
      <c r="E18" s="641"/>
      <c r="F18" s="641"/>
      <c r="G18" s="639" t="s">
        <v>1962</v>
      </c>
      <c r="H18" s="639" t="s">
        <v>2147</v>
      </c>
      <c r="I18" s="642"/>
    </row>
    <row r="19" spans="1:9" ht="135" customHeight="1">
      <c r="A19" s="633"/>
      <c r="B19" s="634">
        <v>17</v>
      </c>
      <c r="C19" s="643" t="s">
        <v>1955</v>
      </c>
      <c r="D19" s="640"/>
      <c r="E19" s="641" t="s">
        <v>1963</v>
      </c>
      <c r="F19" s="641"/>
      <c r="G19" s="639" t="s">
        <v>1957</v>
      </c>
      <c r="H19" s="639" t="s">
        <v>2147</v>
      </c>
      <c r="I19" s="642"/>
    </row>
    <row r="20" spans="1:9" ht="135" customHeight="1">
      <c r="A20" s="633"/>
      <c r="B20" s="634">
        <v>18</v>
      </c>
      <c r="C20" s="643" t="s">
        <v>1955</v>
      </c>
      <c r="D20" s="640"/>
      <c r="E20" s="641" t="s">
        <v>1964</v>
      </c>
      <c r="F20" s="641"/>
      <c r="G20" s="639" t="s">
        <v>1965</v>
      </c>
      <c r="H20" s="639" t="s">
        <v>2147</v>
      </c>
      <c r="I20" s="642"/>
    </row>
    <row r="21" spans="1:9" ht="135" customHeight="1">
      <c r="A21" s="633"/>
      <c r="B21" s="634">
        <v>19</v>
      </c>
      <c r="C21" s="643" t="s">
        <v>1955</v>
      </c>
      <c r="D21" s="640"/>
      <c r="E21" s="641"/>
      <c r="F21" s="641"/>
      <c r="G21" s="639"/>
      <c r="H21" s="639" t="s">
        <v>2147</v>
      </c>
      <c r="I21" s="642" t="s">
        <v>1969</v>
      </c>
    </row>
    <row r="22" spans="1:9" ht="135" customHeight="1">
      <c r="A22" s="633"/>
      <c r="B22" s="634">
        <v>20</v>
      </c>
      <c r="C22" s="643" t="s">
        <v>1955</v>
      </c>
      <c r="D22" s="640"/>
      <c r="E22" s="641" t="s">
        <v>1364</v>
      </c>
      <c r="F22" s="641"/>
      <c r="G22" s="639" t="s">
        <v>1938</v>
      </c>
      <c r="H22" s="639" t="s">
        <v>2147</v>
      </c>
      <c r="I22" s="642"/>
    </row>
    <row r="23" spans="1:9" ht="135" customHeight="1">
      <c r="A23" s="633"/>
      <c r="B23" s="634">
        <v>21</v>
      </c>
      <c r="C23" s="643" t="s">
        <v>1955</v>
      </c>
      <c r="D23" s="640"/>
      <c r="E23" s="641" t="s">
        <v>1371</v>
      </c>
      <c r="F23" s="641"/>
      <c r="G23" s="639" t="s">
        <v>1948</v>
      </c>
      <c r="H23" s="639" t="s">
        <v>2147</v>
      </c>
      <c r="I23" s="642"/>
    </row>
    <row r="24" spans="1:9" ht="135" customHeight="1">
      <c r="A24" s="633"/>
      <c r="B24" s="634">
        <v>22</v>
      </c>
      <c r="C24" s="643" t="s">
        <v>1955</v>
      </c>
      <c r="D24" s="640"/>
      <c r="E24" s="641"/>
      <c r="F24" s="641"/>
      <c r="G24" s="639" t="s">
        <v>1975</v>
      </c>
      <c r="H24" s="639" t="s">
        <v>2147</v>
      </c>
      <c r="I24" s="642"/>
    </row>
    <row r="25" spans="1:9" ht="135" customHeight="1">
      <c r="A25" s="633"/>
      <c r="B25" s="634">
        <v>23</v>
      </c>
      <c r="C25" s="643" t="s">
        <v>1955</v>
      </c>
      <c r="D25" s="640"/>
      <c r="E25" s="641" t="s">
        <v>1976</v>
      </c>
      <c r="F25" s="641"/>
      <c r="G25" s="639" t="s">
        <v>1975</v>
      </c>
      <c r="H25" s="639" t="s">
        <v>2147</v>
      </c>
      <c r="I25" s="642"/>
    </row>
    <row r="26" spans="1:9">
      <c r="A26" s="633"/>
      <c r="B26" s="634">
        <v>24</v>
      </c>
      <c r="C26" s="643"/>
      <c r="D26" s="640"/>
      <c r="E26" s="641" t="s">
        <v>1977</v>
      </c>
      <c r="F26" s="641"/>
      <c r="G26" s="639" t="s">
        <v>1957</v>
      </c>
      <c r="H26" s="639" t="s">
        <v>1978</v>
      </c>
      <c r="I26" s="642"/>
    </row>
    <row r="27" spans="1:9">
      <c r="A27" s="633"/>
      <c r="B27" s="634">
        <v>25</v>
      </c>
      <c r="C27" s="639" t="s">
        <v>1979</v>
      </c>
      <c r="D27" s="640"/>
      <c r="E27" s="641" t="s">
        <v>1100</v>
      </c>
      <c r="F27" s="641"/>
      <c r="G27" s="639" t="s">
        <v>1980</v>
      </c>
      <c r="H27" s="639" t="s">
        <v>1981</v>
      </c>
      <c r="I27" s="642"/>
    </row>
    <row r="28" spans="1:9">
      <c r="A28" s="633"/>
      <c r="B28" s="634">
        <v>26</v>
      </c>
      <c r="C28" s="639" t="s">
        <v>1982</v>
      </c>
      <c r="D28" s="640"/>
      <c r="E28" s="641" t="s">
        <v>1114</v>
      </c>
      <c r="F28" s="641"/>
      <c r="G28" s="639" t="s">
        <v>1983</v>
      </c>
      <c r="H28" s="639" t="s">
        <v>1981</v>
      </c>
      <c r="I28" s="642"/>
    </row>
    <row r="29" spans="1:9">
      <c r="A29" s="633"/>
      <c r="B29" s="634">
        <v>27</v>
      </c>
      <c r="C29" s="639" t="s">
        <v>1984</v>
      </c>
      <c r="D29" s="640"/>
      <c r="E29" s="641" t="s">
        <v>1103</v>
      </c>
      <c r="F29" s="641"/>
      <c r="G29" s="639" t="s">
        <v>1980</v>
      </c>
      <c r="H29" s="639" t="s">
        <v>1985</v>
      </c>
      <c r="I29" s="642"/>
    </row>
    <row r="30" spans="1:9">
      <c r="A30" s="633"/>
      <c r="B30" s="634">
        <v>28</v>
      </c>
      <c r="C30" s="639">
        <v>6.2</v>
      </c>
      <c r="D30" s="640"/>
      <c r="E30" s="641" t="s">
        <v>1116</v>
      </c>
      <c r="F30" s="641"/>
      <c r="G30" s="639" t="s">
        <v>1983</v>
      </c>
      <c r="H30" s="639" t="s">
        <v>1985</v>
      </c>
      <c r="I30" s="642"/>
    </row>
    <row r="31" spans="1:9">
      <c r="A31" s="633"/>
      <c r="B31" s="634">
        <v>29</v>
      </c>
      <c r="C31" s="643" t="s">
        <v>1986</v>
      </c>
      <c r="D31" s="640"/>
      <c r="E31" s="641" t="s">
        <v>1872</v>
      </c>
      <c r="F31" s="641"/>
      <c r="G31" s="639" t="s">
        <v>1987</v>
      </c>
      <c r="H31" s="639" t="s">
        <v>1988</v>
      </c>
      <c r="I31" s="642"/>
    </row>
    <row r="32" spans="1:9">
      <c r="A32" s="633"/>
      <c r="B32" s="634">
        <v>30</v>
      </c>
      <c r="C32" s="639">
        <v>8</v>
      </c>
      <c r="D32" s="640"/>
      <c r="E32" s="641"/>
      <c r="F32" s="641"/>
      <c r="G32" s="639" t="s">
        <v>1990</v>
      </c>
      <c r="H32" s="639" t="s">
        <v>1988</v>
      </c>
      <c r="I32" s="642"/>
    </row>
    <row r="33" spans="1:9">
      <c r="A33" s="633"/>
      <c r="B33" s="634">
        <v>31</v>
      </c>
      <c r="C33" s="643" t="s">
        <v>1991</v>
      </c>
      <c r="D33" s="640"/>
      <c r="E33" s="641" t="s">
        <v>1992</v>
      </c>
      <c r="F33" s="641"/>
      <c r="G33" s="639" t="s">
        <v>1980</v>
      </c>
      <c r="H33" s="639" t="s">
        <v>1988</v>
      </c>
      <c r="I33" s="642"/>
    </row>
    <row r="34" spans="1:9">
      <c r="A34" s="633"/>
      <c r="B34" s="634">
        <v>32</v>
      </c>
      <c r="C34" s="643" t="s">
        <v>1991</v>
      </c>
      <c r="D34" s="640"/>
      <c r="E34" s="641" t="s">
        <v>1122</v>
      </c>
      <c r="F34" s="641"/>
      <c r="G34" s="639" t="s">
        <v>1983</v>
      </c>
      <c r="H34" s="639" t="s">
        <v>1988</v>
      </c>
      <c r="I34" s="642"/>
    </row>
    <row r="35" spans="1:9">
      <c r="A35" s="633"/>
      <c r="B35" s="634">
        <v>33</v>
      </c>
      <c r="C35" s="639"/>
      <c r="D35" s="640"/>
      <c r="E35" s="641" t="s">
        <v>1759</v>
      </c>
      <c r="F35" s="641"/>
      <c r="G35" s="639" t="s">
        <v>1993</v>
      </c>
      <c r="H35" s="639" t="s">
        <v>1994</v>
      </c>
      <c r="I35" s="642"/>
    </row>
    <row r="36" spans="1:9">
      <c r="A36" s="633"/>
      <c r="B36" s="634">
        <v>34</v>
      </c>
      <c r="C36" s="639"/>
      <c r="D36" s="640"/>
      <c r="E36" s="641" t="s">
        <v>1762</v>
      </c>
      <c r="F36" s="641"/>
      <c r="G36" s="639" t="s">
        <v>1995</v>
      </c>
      <c r="H36" s="639" t="s">
        <v>1994</v>
      </c>
      <c r="I36" s="642"/>
    </row>
    <row r="37" spans="1:9">
      <c r="A37" s="633"/>
      <c r="B37" s="634">
        <v>35</v>
      </c>
      <c r="C37" s="639">
        <v>6.3</v>
      </c>
      <c r="D37" s="640"/>
      <c r="E37" s="641" t="s">
        <v>1109</v>
      </c>
      <c r="F37" s="641"/>
      <c r="G37" s="639" t="s">
        <v>1980</v>
      </c>
      <c r="H37" s="639" t="s">
        <v>1994</v>
      </c>
      <c r="I37" s="642"/>
    </row>
    <row r="38" spans="1:9">
      <c r="A38" s="633"/>
      <c r="B38" s="634">
        <v>36</v>
      </c>
      <c r="C38" s="639">
        <v>6.3</v>
      </c>
      <c r="D38" s="640"/>
      <c r="E38" s="641" t="s">
        <v>1120</v>
      </c>
      <c r="F38" s="641"/>
      <c r="G38" s="639" t="s">
        <v>1983</v>
      </c>
      <c r="H38" s="639" t="s">
        <v>1994</v>
      </c>
      <c r="I38" s="642"/>
    </row>
    <row r="39" spans="1:9">
      <c r="A39" s="633"/>
      <c r="B39" s="634">
        <v>37</v>
      </c>
      <c r="C39" s="639">
        <v>6.4</v>
      </c>
      <c r="D39" s="640"/>
      <c r="E39" s="641" t="s">
        <v>1106</v>
      </c>
      <c r="F39" s="641"/>
      <c r="G39" s="639" t="s">
        <v>1980</v>
      </c>
      <c r="H39" s="639" t="s">
        <v>1996</v>
      </c>
      <c r="I39" s="642"/>
    </row>
    <row r="40" spans="1:9">
      <c r="A40" s="633"/>
      <c r="B40" s="634">
        <v>38</v>
      </c>
      <c r="C40" s="639">
        <v>6.4</v>
      </c>
      <c r="D40" s="640"/>
      <c r="E40" s="641" t="s">
        <v>1118</v>
      </c>
      <c r="F40" s="641"/>
      <c r="G40" s="639" t="s">
        <v>1983</v>
      </c>
      <c r="H40" s="639" t="s">
        <v>1996</v>
      </c>
      <c r="I40" s="642"/>
    </row>
    <row r="41" spans="1:9">
      <c r="A41" s="633"/>
      <c r="B41" s="634">
        <v>39</v>
      </c>
      <c r="C41" s="639">
        <v>10</v>
      </c>
      <c r="D41" s="640"/>
      <c r="E41" s="641" t="s">
        <v>1807</v>
      </c>
      <c r="F41" s="641"/>
      <c r="G41" s="639" t="s">
        <v>1997</v>
      </c>
      <c r="H41" s="639" t="s">
        <v>1998</v>
      </c>
      <c r="I41" s="642"/>
    </row>
    <row r="42" spans="1:9">
      <c r="A42" s="633"/>
      <c r="B42" s="634">
        <v>40</v>
      </c>
      <c r="C42" s="643">
        <v>9.3000000000000007</v>
      </c>
      <c r="D42" s="640"/>
      <c r="E42" s="641"/>
      <c r="F42" s="641"/>
      <c r="G42" s="639" t="s">
        <v>1938</v>
      </c>
      <c r="H42" s="639" t="s">
        <v>1998</v>
      </c>
      <c r="I42" s="642" t="s">
        <v>1969</v>
      </c>
    </row>
    <row r="43" spans="1:9">
      <c r="A43" s="633"/>
      <c r="B43" s="634">
        <v>41</v>
      </c>
      <c r="C43" s="643">
        <v>9.3000000000000007</v>
      </c>
      <c r="D43" s="640"/>
      <c r="E43" s="641" t="s">
        <v>1999</v>
      </c>
      <c r="F43" s="641"/>
      <c r="G43" s="639" t="s">
        <v>2000</v>
      </c>
      <c r="H43" s="639" t="s">
        <v>1998</v>
      </c>
      <c r="I43" s="642"/>
    </row>
    <row r="44" spans="1:9" ht="184.5" customHeight="1">
      <c r="A44" s="633"/>
      <c r="B44" s="634">
        <v>42</v>
      </c>
      <c r="C44" s="643">
        <v>9.3000000000000007</v>
      </c>
      <c r="D44" s="640"/>
      <c r="E44" s="641"/>
      <c r="F44" s="641"/>
      <c r="G44" s="639" t="s">
        <v>1948</v>
      </c>
      <c r="H44" s="639" t="s">
        <v>1998</v>
      </c>
      <c r="I44" s="642" t="s">
        <v>2002</v>
      </c>
    </row>
    <row r="45" spans="1:9">
      <c r="A45" s="633"/>
      <c r="B45" s="634">
        <v>43</v>
      </c>
      <c r="C45" s="643">
        <v>9.1999999999999993</v>
      </c>
      <c r="D45" s="640"/>
      <c r="E45" s="641" t="s">
        <v>1810</v>
      </c>
      <c r="F45" s="641"/>
      <c r="G45" s="639" t="s">
        <v>2003</v>
      </c>
      <c r="H45" s="639" t="s">
        <v>1998</v>
      </c>
      <c r="I45" s="642"/>
    </row>
    <row r="46" spans="1:9">
      <c r="A46" s="633"/>
      <c r="B46" s="634">
        <v>44</v>
      </c>
      <c r="C46" s="643">
        <v>9.1999999999999993</v>
      </c>
      <c r="D46" s="640"/>
      <c r="E46" s="641" t="s">
        <v>2005</v>
      </c>
      <c r="F46" s="641"/>
      <c r="G46" s="639" t="s">
        <v>2006</v>
      </c>
      <c r="H46" s="639" t="s">
        <v>1998</v>
      </c>
      <c r="I46" s="642"/>
    </row>
    <row r="47" spans="1:9">
      <c r="A47" s="633"/>
      <c r="B47" s="634">
        <v>45</v>
      </c>
      <c r="C47" s="643">
        <v>9.1999999999999993</v>
      </c>
      <c r="D47" s="640"/>
      <c r="E47" s="641"/>
      <c r="F47" s="641"/>
      <c r="G47" s="639" t="s">
        <v>2008</v>
      </c>
      <c r="H47" s="639" t="s">
        <v>1998</v>
      </c>
      <c r="I47" s="642"/>
    </row>
    <row r="48" spans="1:9">
      <c r="A48" s="633"/>
      <c r="B48" s="634">
        <v>46</v>
      </c>
      <c r="C48" s="643">
        <v>9.3000000000000007</v>
      </c>
      <c r="D48" s="640"/>
      <c r="E48" s="641" t="s">
        <v>2009</v>
      </c>
      <c r="F48" s="641"/>
      <c r="G48" s="639"/>
      <c r="H48" s="639" t="s">
        <v>2010</v>
      </c>
      <c r="I48" s="642"/>
    </row>
    <row r="49" spans="1:9">
      <c r="A49" s="633"/>
      <c r="B49" s="634">
        <v>47</v>
      </c>
      <c r="C49" s="643">
        <v>9.3000000000000007</v>
      </c>
      <c r="D49" s="640"/>
      <c r="E49" s="641" t="s">
        <v>2011</v>
      </c>
      <c r="F49" s="641"/>
      <c r="G49" s="639"/>
      <c r="H49" s="639" t="s">
        <v>2010</v>
      </c>
      <c r="I49" s="642" t="s">
        <v>1969</v>
      </c>
    </row>
    <row r="50" spans="1:9">
      <c r="A50" s="633"/>
      <c r="B50" s="634">
        <v>48</v>
      </c>
      <c r="C50" s="643">
        <v>9.3000000000000007</v>
      </c>
      <c r="D50" s="640"/>
      <c r="E50" s="641" t="s">
        <v>2012</v>
      </c>
      <c r="F50" s="641"/>
      <c r="G50" s="639"/>
      <c r="H50" s="639" t="s">
        <v>2010</v>
      </c>
      <c r="I50" s="642" t="s">
        <v>1969</v>
      </c>
    </row>
    <row r="51" spans="1:9">
      <c r="A51" s="633"/>
      <c r="B51" s="634">
        <v>49</v>
      </c>
      <c r="C51" s="643">
        <v>9.3000000000000007</v>
      </c>
      <c r="D51" s="640"/>
      <c r="E51" s="641" t="s">
        <v>2013</v>
      </c>
      <c r="F51" s="641"/>
      <c r="G51" s="639"/>
      <c r="H51" s="639" t="s">
        <v>2010</v>
      </c>
      <c r="I51" s="642" t="s">
        <v>1969</v>
      </c>
    </row>
    <row r="52" spans="1:9">
      <c r="A52" s="633"/>
      <c r="B52" s="634">
        <v>50</v>
      </c>
      <c r="C52" s="639"/>
      <c r="D52" s="640"/>
      <c r="E52" s="641" t="s">
        <v>1025</v>
      </c>
      <c r="F52" s="641"/>
      <c r="G52" s="639" t="s">
        <v>2014</v>
      </c>
      <c r="H52" s="639" t="s">
        <v>2015</v>
      </c>
      <c r="I52" s="642"/>
    </row>
    <row r="53" spans="1:9">
      <c r="A53" s="633"/>
      <c r="B53" s="634">
        <v>51</v>
      </c>
      <c r="C53" s="639"/>
      <c r="D53" s="640"/>
      <c r="E53" s="641" t="s">
        <v>1027</v>
      </c>
      <c r="F53" s="641"/>
      <c r="G53" s="639" t="s">
        <v>2017</v>
      </c>
      <c r="H53" s="639" t="s">
        <v>2015</v>
      </c>
      <c r="I53" s="642"/>
    </row>
    <row r="54" spans="1:9">
      <c r="A54" s="633"/>
      <c r="B54" s="634">
        <v>52</v>
      </c>
      <c r="C54" s="639"/>
      <c r="D54" s="640"/>
      <c r="E54" s="641" t="s">
        <v>1049</v>
      </c>
      <c r="F54" s="641"/>
      <c r="G54" s="639" t="s">
        <v>2018</v>
      </c>
      <c r="H54" s="639" t="s">
        <v>2019</v>
      </c>
      <c r="I54" s="642"/>
    </row>
    <row r="55" spans="1:9">
      <c r="A55" s="633"/>
      <c r="B55" s="634">
        <v>53</v>
      </c>
      <c r="C55" s="639"/>
      <c r="D55" s="640"/>
      <c r="E55" s="641" t="s">
        <v>1050</v>
      </c>
      <c r="F55" s="641"/>
      <c r="G55" s="639" t="s">
        <v>2020</v>
      </c>
      <c r="H55" s="639" t="s">
        <v>2019</v>
      </c>
      <c r="I55" s="642"/>
    </row>
    <row r="56" spans="1:9">
      <c r="A56" s="633"/>
      <c r="B56" s="634">
        <v>54</v>
      </c>
      <c r="C56" s="639"/>
      <c r="D56" s="644"/>
      <c r="E56" s="641" t="s">
        <v>1064</v>
      </c>
      <c r="F56" s="641"/>
      <c r="G56" s="639" t="s">
        <v>2021</v>
      </c>
      <c r="H56" s="639" t="s">
        <v>2022</v>
      </c>
      <c r="I56" s="642"/>
    </row>
    <row r="57" spans="1:9">
      <c r="A57" s="633"/>
      <c r="B57" s="634">
        <v>55</v>
      </c>
      <c r="C57" s="639"/>
      <c r="D57" s="640"/>
      <c r="E57" s="641" t="s">
        <v>1066</v>
      </c>
      <c r="F57" s="641"/>
      <c r="G57" s="639" t="s">
        <v>2023</v>
      </c>
      <c r="H57" s="639" t="s">
        <v>2022</v>
      </c>
      <c r="I57" s="642"/>
    </row>
    <row r="58" spans="1:9">
      <c r="A58" s="633"/>
      <c r="B58" s="634">
        <v>56</v>
      </c>
      <c r="C58" s="639"/>
      <c r="D58" s="640"/>
      <c r="E58" s="641" t="s">
        <v>1134</v>
      </c>
      <c r="F58" s="641"/>
      <c r="G58" s="639" t="s">
        <v>2024</v>
      </c>
      <c r="H58" s="639" t="s">
        <v>2025</v>
      </c>
      <c r="I58" s="642"/>
    </row>
    <row r="59" spans="1:9">
      <c r="A59" s="633"/>
      <c r="B59" s="634">
        <v>57</v>
      </c>
      <c r="C59" s="639"/>
      <c r="D59" s="640"/>
      <c r="E59" s="641" t="s">
        <v>445</v>
      </c>
      <c r="F59" s="641"/>
      <c r="G59" s="639"/>
      <c r="H59" s="639" t="s">
        <v>2025</v>
      </c>
      <c r="I59" s="642" t="s">
        <v>1969</v>
      </c>
    </row>
    <row r="60" spans="1:9">
      <c r="A60" s="633"/>
      <c r="B60" s="634">
        <v>58</v>
      </c>
      <c r="C60" s="639"/>
      <c r="D60" s="640"/>
      <c r="E60" s="641" t="s">
        <v>447</v>
      </c>
      <c r="F60" s="641"/>
      <c r="G60" s="639"/>
      <c r="H60" s="639" t="s">
        <v>2025</v>
      </c>
      <c r="I60" s="642" t="s">
        <v>1969</v>
      </c>
    </row>
    <row r="61" spans="1:9">
      <c r="A61" s="633"/>
      <c r="B61" s="634">
        <v>59</v>
      </c>
      <c r="C61" s="639"/>
      <c r="D61" s="640"/>
      <c r="E61" s="641" t="s">
        <v>1144</v>
      </c>
      <c r="F61" s="641"/>
      <c r="G61" s="639"/>
      <c r="H61" s="639" t="s">
        <v>2025</v>
      </c>
      <c r="I61" s="642" t="s">
        <v>1969</v>
      </c>
    </row>
    <row r="62" spans="1:9">
      <c r="A62" s="633"/>
      <c r="B62" s="634">
        <v>60</v>
      </c>
      <c r="C62" s="639"/>
      <c r="D62" s="640"/>
      <c r="E62" s="641" t="s">
        <v>1147</v>
      </c>
      <c r="F62" s="641"/>
      <c r="G62" s="639"/>
      <c r="H62" s="639" t="s">
        <v>2025</v>
      </c>
      <c r="I62" s="642" t="s">
        <v>1969</v>
      </c>
    </row>
    <row r="63" spans="1:9">
      <c r="A63" s="633"/>
      <c r="B63" s="634">
        <v>61</v>
      </c>
      <c r="C63" s="639"/>
      <c r="D63" s="640"/>
      <c r="E63" s="641" t="s">
        <v>1151</v>
      </c>
      <c r="F63" s="641"/>
      <c r="G63" s="639"/>
      <c r="H63" s="639" t="s">
        <v>2025</v>
      </c>
      <c r="I63" s="642" t="s">
        <v>1969</v>
      </c>
    </row>
    <row r="64" spans="1:9">
      <c r="A64" s="633"/>
      <c r="B64" s="634">
        <v>62</v>
      </c>
      <c r="C64" s="639"/>
      <c r="D64" s="640"/>
      <c r="E64" s="641" t="s">
        <v>1140</v>
      </c>
      <c r="F64" s="641"/>
      <c r="G64" s="639" t="s">
        <v>2026</v>
      </c>
      <c r="H64" s="639" t="s">
        <v>2025</v>
      </c>
      <c r="I64" s="642"/>
    </row>
    <row r="65" spans="1:9">
      <c r="A65" s="633"/>
      <c r="B65" s="634">
        <v>63</v>
      </c>
      <c r="C65" s="639"/>
      <c r="D65" s="640"/>
      <c r="E65" s="641" t="s">
        <v>1142</v>
      </c>
      <c r="F65" s="641"/>
      <c r="G65" s="639" t="s">
        <v>2027</v>
      </c>
      <c r="H65" s="639" t="s">
        <v>2025</v>
      </c>
      <c r="I65" s="642"/>
    </row>
    <row r="66" spans="1:9">
      <c r="A66" s="633"/>
      <c r="B66" s="634">
        <v>64</v>
      </c>
      <c r="C66" s="639"/>
      <c r="D66" s="640"/>
      <c r="E66" s="641" t="s">
        <v>1145</v>
      </c>
      <c r="F66" s="641"/>
      <c r="G66" s="639" t="s">
        <v>2028</v>
      </c>
      <c r="H66" s="639" t="s">
        <v>2025</v>
      </c>
      <c r="I66" s="642"/>
    </row>
    <row r="67" spans="1:9">
      <c r="A67" s="633"/>
      <c r="B67" s="634">
        <v>65</v>
      </c>
      <c r="C67" s="639"/>
      <c r="D67" s="640"/>
      <c r="E67" s="641" t="s">
        <v>1148</v>
      </c>
      <c r="F67" s="641"/>
      <c r="G67" s="639" t="s">
        <v>2029</v>
      </c>
      <c r="H67" s="639" t="s">
        <v>2025</v>
      </c>
      <c r="I67" s="642"/>
    </row>
    <row r="68" spans="1:9">
      <c r="A68" s="633"/>
      <c r="B68" s="634">
        <v>66</v>
      </c>
      <c r="C68" s="639"/>
      <c r="D68" s="640"/>
      <c r="E68" s="641" t="s">
        <v>1742</v>
      </c>
      <c r="F68" s="641"/>
      <c r="G68" s="639" t="s">
        <v>2030</v>
      </c>
      <c r="H68" s="639" t="s">
        <v>2025</v>
      </c>
      <c r="I68" s="642"/>
    </row>
    <row r="69" spans="1:9" ht="134.25" customHeight="1">
      <c r="A69" s="633"/>
      <c r="B69" s="634">
        <v>67</v>
      </c>
      <c r="C69" s="639"/>
      <c r="D69" s="640"/>
      <c r="E69" s="641" t="s">
        <v>2031</v>
      </c>
      <c r="F69" s="641"/>
      <c r="G69" s="639"/>
      <c r="H69" s="639" t="s">
        <v>2032</v>
      </c>
      <c r="I69" s="642" t="s">
        <v>1969</v>
      </c>
    </row>
    <row r="70" spans="1:9" ht="92.4">
      <c r="A70" s="633"/>
      <c r="B70" s="634">
        <v>68</v>
      </c>
      <c r="C70" s="639"/>
      <c r="D70" s="640"/>
      <c r="E70" s="641" t="s">
        <v>1670</v>
      </c>
      <c r="F70" s="641"/>
      <c r="G70" s="639" t="s">
        <v>2033</v>
      </c>
      <c r="H70" s="639" t="s">
        <v>2034</v>
      </c>
      <c r="I70" s="642"/>
    </row>
    <row r="71" spans="1:9" ht="92.4">
      <c r="A71" s="633"/>
      <c r="B71" s="634">
        <v>69</v>
      </c>
      <c r="C71" s="639"/>
      <c r="D71" s="640"/>
      <c r="E71" s="641" t="s">
        <v>1676</v>
      </c>
      <c r="F71" s="641"/>
      <c r="G71" s="639" t="s">
        <v>2035</v>
      </c>
      <c r="H71" s="639" t="s">
        <v>2034</v>
      </c>
      <c r="I71" s="642"/>
    </row>
    <row r="72" spans="1:9">
      <c r="A72" s="633"/>
      <c r="B72" s="634">
        <v>70</v>
      </c>
      <c r="C72" s="639"/>
      <c r="D72" s="640"/>
      <c r="E72" s="641" t="s">
        <v>1841</v>
      </c>
      <c r="F72" s="641"/>
      <c r="G72" s="639" t="s">
        <v>2036</v>
      </c>
      <c r="H72" s="639" t="s">
        <v>2037</v>
      </c>
      <c r="I72" s="642"/>
    </row>
    <row r="73" spans="1:9">
      <c r="A73" s="633"/>
      <c r="B73" s="634">
        <v>71</v>
      </c>
      <c r="C73" s="639"/>
      <c r="D73" s="640"/>
      <c r="E73" s="641" t="s">
        <v>1835</v>
      </c>
      <c r="F73" s="641"/>
      <c r="G73" s="639" t="s">
        <v>2038</v>
      </c>
      <c r="H73" s="639" t="s">
        <v>2037</v>
      </c>
      <c r="I73" s="642"/>
    </row>
    <row r="74" spans="1:9">
      <c r="A74" s="633"/>
      <c r="B74" s="634">
        <v>72</v>
      </c>
      <c r="C74" s="639"/>
      <c r="D74" s="640"/>
      <c r="E74" s="641" t="s">
        <v>1832</v>
      </c>
      <c r="F74" s="641"/>
      <c r="G74" s="639" t="s">
        <v>2039</v>
      </c>
      <c r="H74" s="639" t="s">
        <v>2037</v>
      </c>
      <c r="I74" s="642"/>
    </row>
    <row r="75" spans="1:9">
      <c r="A75" s="633"/>
      <c r="B75" s="634">
        <v>73</v>
      </c>
      <c r="C75" s="639"/>
      <c r="D75" s="640"/>
      <c r="E75" s="641" t="s">
        <v>1829</v>
      </c>
      <c r="F75" s="641"/>
      <c r="G75" s="639" t="s">
        <v>2040</v>
      </c>
      <c r="H75" s="639" t="s">
        <v>2037</v>
      </c>
      <c r="I75" s="642"/>
    </row>
    <row r="76" spans="1:9">
      <c r="A76" s="633"/>
      <c r="B76" s="634">
        <v>74</v>
      </c>
      <c r="C76" s="639"/>
      <c r="D76" s="640"/>
      <c r="E76" s="641" t="s">
        <v>1854</v>
      </c>
      <c r="F76" s="641"/>
      <c r="G76" s="639" t="s">
        <v>2041</v>
      </c>
      <c r="H76" s="639" t="s">
        <v>2037</v>
      </c>
      <c r="I76" s="642"/>
    </row>
    <row r="77" spans="1:9">
      <c r="A77" s="633"/>
      <c r="B77" s="634">
        <v>75</v>
      </c>
      <c r="C77" s="639"/>
      <c r="D77" s="640"/>
      <c r="E77" s="641" t="s">
        <v>1857</v>
      </c>
      <c r="F77" s="641"/>
      <c r="G77" s="639" t="s">
        <v>2042</v>
      </c>
      <c r="H77" s="639" t="s">
        <v>2037</v>
      </c>
      <c r="I77" s="642"/>
    </row>
    <row r="78" spans="1:9">
      <c r="A78" s="633"/>
      <c r="B78" s="634">
        <v>76</v>
      </c>
      <c r="C78" s="639"/>
      <c r="D78" s="640"/>
      <c r="E78" s="641" t="s">
        <v>1860</v>
      </c>
      <c r="F78" s="641"/>
      <c r="G78" s="639" t="s">
        <v>2043</v>
      </c>
      <c r="H78" s="639" t="s">
        <v>2037</v>
      </c>
      <c r="I78" s="642"/>
    </row>
    <row r="79" spans="1:9">
      <c r="A79" s="633"/>
      <c r="B79" s="634">
        <v>77</v>
      </c>
      <c r="C79" s="639"/>
      <c r="D79" s="644"/>
      <c r="E79" s="641" t="s">
        <v>1863</v>
      </c>
      <c r="F79" s="641"/>
      <c r="G79" s="639" t="s">
        <v>2044</v>
      </c>
      <c r="H79" s="639" t="s">
        <v>2037</v>
      </c>
      <c r="I79" s="642"/>
    </row>
    <row r="80" spans="1:9">
      <c r="A80" s="633"/>
      <c r="B80" s="634">
        <v>78</v>
      </c>
      <c r="C80" s="639"/>
      <c r="D80" s="640"/>
      <c r="E80" s="641" t="s">
        <v>1775</v>
      </c>
      <c r="F80" s="641"/>
      <c r="G80" s="639" t="s">
        <v>2045</v>
      </c>
      <c r="H80" s="639" t="s">
        <v>2148</v>
      </c>
      <c r="I80" s="642"/>
    </row>
    <row r="81" spans="1:9">
      <c r="A81" s="633"/>
      <c r="B81" s="634">
        <v>79</v>
      </c>
      <c r="C81" s="639"/>
      <c r="D81" s="640"/>
      <c r="E81" s="641"/>
      <c r="F81" s="641"/>
      <c r="G81" s="639" t="s">
        <v>2149</v>
      </c>
      <c r="H81" s="639" t="s">
        <v>2148</v>
      </c>
      <c r="I81" s="642"/>
    </row>
    <row r="82" spans="1:9">
      <c r="A82" s="633"/>
      <c r="B82" s="634">
        <v>80</v>
      </c>
      <c r="C82" s="639"/>
      <c r="D82" s="640"/>
      <c r="E82" s="641" t="s">
        <v>2150</v>
      </c>
      <c r="F82" s="641"/>
      <c r="G82" s="639" t="s">
        <v>2151</v>
      </c>
      <c r="H82" s="639" t="s">
        <v>2148</v>
      </c>
      <c r="I82" s="642"/>
    </row>
    <row r="83" spans="1:9">
      <c r="A83" s="633"/>
      <c r="B83" s="634">
        <v>81</v>
      </c>
      <c r="C83" s="639"/>
      <c r="D83" s="640"/>
      <c r="E83" s="641"/>
      <c r="F83" s="641"/>
      <c r="G83" s="639" t="s">
        <v>2152</v>
      </c>
      <c r="H83" s="639" t="s">
        <v>2148</v>
      </c>
      <c r="I83" s="642"/>
    </row>
    <row r="84" spans="1:9">
      <c r="A84" s="633"/>
      <c r="B84" s="634">
        <v>82</v>
      </c>
      <c r="C84" s="639"/>
      <c r="D84" s="640"/>
      <c r="E84" s="641" t="s">
        <v>2153</v>
      </c>
      <c r="F84" s="641"/>
      <c r="G84" s="639" t="s">
        <v>2154</v>
      </c>
      <c r="H84" s="639" t="s">
        <v>2155</v>
      </c>
      <c r="I84" s="642"/>
    </row>
    <row r="85" spans="1:9">
      <c r="A85" s="633"/>
      <c r="B85" s="634">
        <v>83</v>
      </c>
      <c r="C85" s="639"/>
      <c r="D85" s="640"/>
      <c r="E85" s="641"/>
      <c r="F85" s="641"/>
      <c r="G85" s="639" t="s">
        <v>2156</v>
      </c>
      <c r="H85" s="639" t="s">
        <v>2155</v>
      </c>
      <c r="I85" s="642"/>
    </row>
    <row r="86" spans="1:9">
      <c r="A86" s="633"/>
      <c r="B86" s="634">
        <v>84</v>
      </c>
      <c r="C86" s="639"/>
      <c r="D86" s="640"/>
      <c r="E86" s="641"/>
      <c r="F86" s="641"/>
      <c r="G86" s="639" t="s">
        <v>2157</v>
      </c>
      <c r="H86" s="639" t="s">
        <v>2155</v>
      </c>
      <c r="I86" s="642"/>
    </row>
  </sheetData>
  <sheetProtection algorithmName="SHA-512" hashValue="vRimyisQZW6Fno1m/UrEAQ/Fr988CUXn1JMjErOCv9Rtg5ZlJsfG6zjGIo0kuhmI00pBvWLBT5oPDhRrkE9Rvw==" saltValue="gvAUAqRSxbgSVWl7l50RiQ==" spinCount="100000" sheet="1" objects="1" scenarios="1"/>
  <pageMargins left="0.7" right="0.7" top="0.75" bottom="0.75" header="0.3" footer="0.3"/>
  <pageSetup paperSize="17" scale="19" fitToHeight="3" orientation="landscape" r:id="rId1"/>
  <rowBreaks count="1" manualBreakCount="1">
    <brk id="25" max="9" man="1"/>
  </rowBreaks>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pageSetUpPr fitToPage="1"/>
  </sheetPr>
  <dimension ref="A1:I231"/>
  <sheetViews>
    <sheetView view="pageBreakPreview" zoomScaleNormal="100" zoomScaleSheetLayoutView="100" workbookViewId="0"/>
  </sheetViews>
  <sheetFormatPr defaultRowHeight="13.2"/>
  <cols>
    <col min="1" max="1" width="92.88671875" style="645" bestFit="1" customWidth="1"/>
    <col min="2" max="2" width="26.5546875" style="645" customWidth="1"/>
  </cols>
  <sheetData>
    <row r="1" spans="1:9">
      <c r="A1" s="645" t="s">
        <v>2158</v>
      </c>
      <c r="B1" s="670" t="s">
        <v>2159</v>
      </c>
    </row>
    <row r="2" spans="1:9" ht="12.75" customHeight="1">
      <c r="A2" s="645" t="s">
        <v>2160</v>
      </c>
      <c r="B2" s="675"/>
      <c r="G2" s="1745" t="s">
        <v>2161</v>
      </c>
      <c r="H2" s="2166"/>
      <c r="I2" s="2166"/>
    </row>
    <row r="3" spans="1:9">
      <c r="A3" s="645" t="s">
        <v>2162</v>
      </c>
      <c r="B3" s="675"/>
      <c r="G3" s="2166"/>
      <c r="H3" s="2166"/>
      <c r="I3" s="2166"/>
    </row>
    <row r="4" spans="1:9">
      <c r="A4" s="645" t="s">
        <v>2163</v>
      </c>
      <c r="B4" s="675"/>
      <c r="G4" s="2166"/>
      <c r="H4" s="2166"/>
      <c r="I4" s="2166"/>
    </row>
    <row r="5" spans="1:9">
      <c r="A5" s="645" t="s">
        <v>2164</v>
      </c>
      <c r="B5" s="675"/>
      <c r="G5" s="2166"/>
      <c r="H5" s="2166"/>
      <c r="I5" s="2166"/>
    </row>
    <row r="6" spans="1:9">
      <c r="A6" s="645" t="s">
        <v>2165</v>
      </c>
      <c r="B6" s="675"/>
      <c r="G6" s="2166"/>
      <c r="H6" s="2166"/>
      <c r="I6" s="2166"/>
    </row>
    <row r="7" spans="1:9">
      <c r="A7" s="645" t="str">
        <f>"CTRW"&amp;","""&amp;'1) Data Entry'!CTR&amp;""""</f>
        <v>CTRW,""</v>
      </c>
      <c r="B7" s="675">
        <f ca="1">_CTR_per_1</f>
        <v>0</v>
      </c>
      <c r="G7" s="2166"/>
      <c r="H7" s="2166"/>
      <c r="I7" s="2166"/>
    </row>
    <row r="8" spans="1:9">
      <c r="A8" s="645" t="s">
        <v>2166</v>
      </c>
      <c r="B8" s="675"/>
      <c r="G8" s="2166"/>
      <c r="H8" s="2166"/>
      <c r="I8" s="2166"/>
    </row>
    <row r="9" spans="1:9">
      <c r="A9" s="645" t="s">
        <v>2167</v>
      </c>
      <c r="B9" s="675"/>
      <c r="G9" s="2166"/>
      <c r="H9" s="2166"/>
      <c r="I9" s="2166"/>
    </row>
    <row r="10" spans="1:9">
      <c r="A10" s="645" t="e">
        <f ca="1">"VNOMY"&amp;","""&amp;B10&amp;""""</f>
        <v>#DIV/0!</v>
      </c>
      <c r="B10" s="675" t="e">
        <f ca="1">_VNOMY</f>
        <v>#DIV/0!</v>
      </c>
      <c r="G10" s="2166"/>
      <c r="H10" s="2166"/>
      <c r="I10" s="2166"/>
    </row>
    <row r="11" spans="1:9">
      <c r="A11" s="645" t="s">
        <v>2168</v>
      </c>
      <c r="B11" s="675"/>
      <c r="G11" s="2166"/>
      <c r="H11" s="2166"/>
      <c r="I11" s="2166"/>
    </row>
    <row r="12" spans="1:9">
      <c r="A12" s="645" t="e">
        <f>"VNOMZ"&amp;","""&amp;B12&amp;""""</f>
        <v>#DIV/0!</v>
      </c>
      <c r="B12" s="675" t="e">
        <f>_VNOMZ</f>
        <v>#DIV/0!</v>
      </c>
      <c r="G12" s="2166"/>
      <c r="H12" s="2166"/>
      <c r="I12" s="2166"/>
    </row>
    <row r="13" spans="1:9">
      <c r="A13" s="645" t="e">
        <f ca="1">"Z1MAG" &amp;","""&amp;B13&amp;""""</f>
        <v>#DIV/0!</v>
      </c>
      <c r="B13" s="675" t="e">
        <f ca="1">_Z1MAG</f>
        <v>#DIV/0!</v>
      </c>
      <c r="G13" s="2166"/>
      <c r="H13" s="2166"/>
      <c r="I13" s="2166"/>
    </row>
    <row r="14" spans="1:9">
      <c r="A14" s="646" t="e">
        <f>"Z1ANG"&amp;","""&amp;B14&amp;""""</f>
        <v>#DIV/0!</v>
      </c>
      <c r="B14" s="675" t="e">
        <f>_Z1ANG</f>
        <v>#DIV/0!</v>
      </c>
      <c r="G14" s="2166"/>
      <c r="H14" s="2166"/>
      <c r="I14" s="2166"/>
    </row>
    <row r="15" spans="1:9">
      <c r="A15" s="645" t="e">
        <f ca="1">"Z0MAG"&amp;","""&amp;B15&amp;""""</f>
        <v>#DIV/0!</v>
      </c>
      <c r="B15" s="675" t="e">
        <f ca="1">_Z0MAG</f>
        <v>#DIV/0!</v>
      </c>
    </row>
    <row r="16" spans="1:9">
      <c r="A16" s="645" t="e">
        <f>"Z0ANG"&amp;","""&amp;B16&amp;""""</f>
        <v>#DIV/0!</v>
      </c>
      <c r="B16" s="674" t="e">
        <f>_Z0ANG</f>
        <v>#DIV/0!</v>
      </c>
    </row>
    <row r="17" spans="1:2">
      <c r="A17" s="645" t="s">
        <v>2169</v>
      </c>
      <c r="B17" s="675"/>
    </row>
    <row r="18" spans="1:2">
      <c r="A18" s="645" t="s">
        <v>2170</v>
      </c>
      <c r="B18" s="675"/>
    </row>
    <row r="19" spans="1:2">
      <c r="A19" s="645" t="s">
        <v>2171</v>
      </c>
      <c r="B19" s="675"/>
    </row>
    <row r="20" spans="1:2">
      <c r="A20" s="645" t="s">
        <v>2172</v>
      </c>
      <c r="B20" s="675"/>
    </row>
    <row r="21" spans="1:2">
      <c r="A21" s="645" t="e">
        <f ca="1">"E21XG"&amp;","""&amp;B21&amp;""""</f>
        <v>#DIV/0!</v>
      </c>
      <c r="B21" s="675" t="e">
        <f ca="1">_E21XG</f>
        <v>#DIV/0!</v>
      </c>
    </row>
    <row r="22" spans="1:2">
      <c r="A22" s="645" t="s">
        <v>2173</v>
      </c>
      <c r="B22" s="675"/>
    </row>
    <row r="23" spans="1:2">
      <c r="A23" s="645" t="s">
        <v>2174</v>
      </c>
      <c r="B23" s="675"/>
    </row>
    <row r="24" spans="1:2">
      <c r="A24" s="645" t="s">
        <v>2175</v>
      </c>
      <c r="B24" s="675"/>
    </row>
    <row r="25" spans="1:2">
      <c r="A25" s="645" t="s">
        <v>2176</v>
      </c>
      <c r="B25" s="675"/>
    </row>
    <row r="26" spans="1:2">
      <c r="A26" s="645" t="s">
        <v>2177</v>
      </c>
      <c r="B26" s="675"/>
    </row>
    <row r="27" spans="1:2">
      <c r="A27" s="645" t="s">
        <v>2178</v>
      </c>
      <c r="B27" s="675"/>
    </row>
    <row r="28" spans="1:2">
      <c r="A28" s="645" t="s">
        <v>2179</v>
      </c>
      <c r="B28" s="675"/>
    </row>
    <row r="29" spans="1:2">
      <c r="A29" s="645" t="s">
        <v>2180</v>
      </c>
      <c r="B29" s="675"/>
    </row>
    <row r="30" spans="1:2">
      <c r="A30" s="645" t="s">
        <v>2181</v>
      </c>
      <c r="B30" s="675"/>
    </row>
    <row r="31" spans="1:2">
      <c r="A31" s="645" t="s">
        <v>2182</v>
      </c>
      <c r="B31" s="675"/>
    </row>
    <row r="32" spans="1:2">
      <c r="A32" s="645" t="s">
        <v>2183</v>
      </c>
      <c r="B32" s="675"/>
    </row>
    <row r="33" spans="1:2">
      <c r="A33" s="645" t="s">
        <v>2184</v>
      </c>
      <c r="B33" s="675"/>
    </row>
    <row r="34" spans="1:2">
      <c r="A34" s="645" t="s">
        <v>2185</v>
      </c>
      <c r="B34" s="675"/>
    </row>
    <row r="35" spans="1:2">
      <c r="A35" s="645" t="s">
        <v>2186</v>
      </c>
      <c r="B35" s="675"/>
    </row>
    <row r="36" spans="1:2">
      <c r="A36" s="645" t="s">
        <v>2187</v>
      </c>
      <c r="B36" s="675"/>
    </row>
    <row r="37" spans="1:2">
      <c r="A37" s="645" t="s">
        <v>2188</v>
      </c>
      <c r="B37" s="675"/>
    </row>
    <row r="38" spans="1:2">
      <c r="A38" s="645" t="s">
        <v>2189</v>
      </c>
      <c r="B38" s="675"/>
    </row>
    <row r="39" spans="1:2">
      <c r="A39" s="645" t="s">
        <v>2190</v>
      </c>
      <c r="B39" s="675"/>
    </row>
    <row r="40" spans="1:2">
      <c r="A40" s="645" t="s">
        <v>2191</v>
      </c>
      <c r="B40" s="675"/>
    </row>
    <row r="41" spans="1:2">
      <c r="A41" s="645" t="e">
        <f ca="1">"Z1P"&amp;","""&amp;B41&amp;""""</f>
        <v>#DIV/0!</v>
      </c>
      <c r="B41" s="674" t="e">
        <f ca="1">_Z1P</f>
        <v>#DIV/0!</v>
      </c>
    </row>
    <row r="42" spans="1:2">
      <c r="A42" s="646" t="e">
        <f ca="1">"Z2P"&amp;","""&amp;B42&amp;""""</f>
        <v>#DIV/0!</v>
      </c>
      <c r="B42" s="674" t="e">
        <f ca="1">_Z2P</f>
        <v>#DIV/0!</v>
      </c>
    </row>
    <row r="43" spans="1:2">
      <c r="A43" s="645" t="e">
        <f ca="1">"Z3P"&amp;","""&amp;B43&amp;""""</f>
        <v>#DIV/0!</v>
      </c>
      <c r="B43" s="674" t="e">
        <f ca="1">_Z3P</f>
        <v>#DIV/0!</v>
      </c>
    </row>
    <row r="44" spans="1:2">
      <c r="A44" s="645" t="e">
        <f ca="1">"Z4P"&amp;","""&amp;B44&amp;""""</f>
        <v>#DIV/0!</v>
      </c>
      <c r="B44" s="674" t="e">
        <f ca="1">_Z4P</f>
        <v>#DIV/0!</v>
      </c>
    </row>
    <row r="45" spans="1:2">
      <c r="A45" s="645" t="e">
        <f ca="1">"Z5P"&amp;","""&amp;B45&amp;""""</f>
        <v>#DIV/0!</v>
      </c>
      <c r="B45" s="674" t="e">
        <f ca="1">_Z5P</f>
        <v>#DIV/0!</v>
      </c>
    </row>
    <row r="46" spans="1:2">
      <c r="A46" s="645" t="s">
        <v>2192</v>
      </c>
      <c r="B46" s="675"/>
    </row>
    <row r="47" spans="1:2">
      <c r="A47" s="645" t="s">
        <v>2193</v>
      </c>
      <c r="B47" s="675"/>
    </row>
    <row r="48" spans="1:2">
      <c r="A48" s="645" t="s">
        <v>2194</v>
      </c>
      <c r="B48" s="675"/>
    </row>
    <row r="49" spans="1:2">
      <c r="A49" s="645" t="s">
        <v>2195</v>
      </c>
      <c r="B49" s="675"/>
    </row>
    <row r="50" spans="1:2">
      <c r="A50" s="645" t="s">
        <v>2196</v>
      </c>
      <c r="B50" s="675"/>
    </row>
    <row r="51" spans="1:2">
      <c r="A51" s="645" t="e">
        <f ca="1">"Z1MG"&amp;","""&amp;B51&amp;""""</f>
        <v>#DIV/0!</v>
      </c>
      <c r="B51" s="675" t="e">
        <f ca="1">_Z1MG</f>
        <v>#DIV/0!</v>
      </c>
    </row>
    <row r="52" spans="1:2">
      <c r="A52" s="645" t="e">
        <f ca="1">"Z2MG"&amp;","""&amp;B52&amp;""""</f>
        <v>#DIV/0!</v>
      </c>
      <c r="B52" s="674" t="e">
        <f ca="1">_Z2MG</f>
        <v>#DIV/0!</v>
      </c>
    </row>
    <row r="53" spans="1:2">
      <c r="A53" s="645" t="e">
        <f ca="1">"Z3MG"&amp;","""&amp;B53&amp;""""</f>
        <v>#DIV/0!</v>
      </c>
      <c r="B53" s="675" t="e">
        <f ca="1">_Z3MG</f>
        <v>#DIV/0!</v>
      </c>
    </row>
    <row r="54" spans="1:2">
      <c r="A54" s="645" t="e">
        <f ca="1">"Z4MG"&amp;","""&amp;B54&amp;""""</f>
        <v>#DIV/0!</v>
      </c>
      <c r="B54" s="674" t="e">
        <f ca="1">_Z4MG</f>
        <v>#DIV/0!</v>
      </c>
    </row>
    <row r="55" spans="1:2">
      <c r="A55" s="645" t="e">
        <f ca="1">"Z5MG"&amp;","""&amp;B55&amp;""""</f>
        <v>#DIV/0!</v>
      </c>
      <c r="B55" s="675" t="e">
        <f ca="1">_Z5MG</f>
        <v>#DIV/0!</v>
      </c>
    </row>
    <row r="56" spans="1:2">
      <c r="A56" s="645" t="s">
        <v>2197</v>
      </c>
      <c r="B56" s="675"/>
    </row>
    <row r="57" spans="1:2">
      <c r="A57" s="645" t="s">
        <v>2198</v>
      </c>
      <c r="B57" s="675"/>
    </row>
    <row r="58" spans="1:2">
      <c r="A58" s="645" t="s">
        <v>2199</v>
      </c>
      <c r="B58" s="675"/>
    </row>
    <row r="59" spans="1:2">
      <c r="A59" s="645" t="s">
        <v>2200</v>
      </c>
      <c r="B59" s="675"/>
    </row>
    <row r="60" spans="1:2">
      <c r="A60" s="645" t="s">
        <v>2201</v>
      </c>
      <c r="B60" s="675"/>
    </row>
    <row r="61" spans="1:2">
      <c r="A61" s="645" t="e">
        <f ca="1">"k0M1"&amp;","""&amp;B61&amp;""""</f>
        <v>#DIV/0!</v>
      </c>
      <c r="B61" s="675" t="e">
        <f ca="1">_k0M1</f>
        <v>#DIV/0!</v>
      </c>
    </row>
    <row r="62" spans="1:2">
      <c r="A62" s="645" t="e">
        <f ca="1">"k0A1"&amp;","""&amp;B62&amp;""""</f>
        <v>#DIV/0!</v>
      </c>
      <c r="B62" s="675" t="e">
        <f ca="1">_k0A1</f>
        <v>#DIV/0!</v>
      </c>
    </row>
    <row r="63" spans="1:2">
      <c r="A63" s="645" t="s">
        <v>2202</v>
      </c>
      <c r="B63" s="675"/>
    </row>
    <row r="64" spans="1:2">
      <c r="A64" s="645" t="s">
        <v>2203</v>
      </c>
      <c r="B64" s="675"/>
    </row>
    <row r="65" spans="1:4">
      <c r="A65" s="645" t="s">
        <v>2204</v>
      </c>
      <c r="B65" s="675"/>
    </row>
    <row r="66" spans="1:4">
      <c r="A66" s="645" t="s">
        <v>2205</v>
      </c>
      <c r="B66" s="675"/>
    </row>
    <row r="67" spans="1:4">
      <c r="A67" s="645" t="s">
        <v>2206</v>
      </c>
      <c r="B67" s="675"/>
    </row>
    <row r="68" spans="1:4">
      <c r="A68" s="645" t="s">
        <v>2207</v>
      </c>
      <c r="B68" s="675"/>
    </row>
    <row r="69" spans="1:4">
      <c r="A69" s="645" t="s">
        <v>2208</v>
      </c>
      <c r="B69" s="675"/>
    </row>
    <row r="70" spans="1:4">
      <c r="A70" s="645" t="s">
        <v>2209</v>
      </c>
      <c r="B70" s="675"/>
    </row>
    <row r="71" spans="1:4">
      <c r="A71" s="645" t="s">
        <v>2210</v>
      </c>
      <c r="B71" s="675"/>
    </row>
    <row r="72" spans="1:4">
      <c r="A72" s="645" t="s">
        <v>2211</v>
      </c>
      <c r="B72" s="675"/>
      <c r="D72" t="s">
        <v>1498</v>
      </c>
    </row>
    <row r="73" spans="1:4">
      <c r="A73" s="645" t="s">
        <v>2212</v>
      </c>
      <c r="B73" s="675"/>
    </row>
    <row r="74" spans="1:4">
      <c r="A74" s="645" t="e">
        <f ca="1">"ZLF"&amp;","""&amp;B74&amp;""""</f>
        <v>#DIV/0!</v>
      </c>
      <c r="B74" s="675" t="e">
        <f ca="1">_ZLF</f>
        <v>#DIV/0!</v>
      </c>
    </row>
    <row r="75" spans="1:4">
      <c r="A75" s="645" t="e">
        <f ca="1">"ZLR"&amp;","""&amp;B75&amp;""""</f>
        <v>#DIV/0!</v>
      </c>
      <c r="B75" s="675" t="e">
        <f ca="1">_ZLR</f>
        <v>#DIV/0!</v>
      </c>
    </row>
    <row r="76" spans="1:4">
      <c r="A76" s="645" t="s">
        <v>2213</v>
      </c>
      <c r="B76" s="675"/>
    </row>
    <row r="77" spans="1:4">
      <c r="A77" s="645" t="s">
        <v>2214</v>
      </c>
      <c r="B77" s="675"/>
    </row>
    <row r="78" spans="1:4">
      <c r="A78" s="645" t="s">
        <v>2215</v>
      </c>
      <c r="B78" s="675"/>
    </row>
    <row r="79" spans="1:4">
      <c r="A79" s="645" t="s">
        <v>2216</v>
      </c>
      <c r="B79" s="675"/>
    </row>
    <row r="80" spans="1:4">
      <c r="A80" s="646" t="e">
        <f ca="1">"50P1P"&amp;","""&amp;B80&amp;""""</f>
        <v>#DIV/0!</v>
      </c>
      <c r="B80" s="675" t="e">
        <f ca="1">_50P1P</f>
        <v>#DIV/0!</v>
      </c>
    </row>
    <row r="81" spans="1:2">
      <c r="A81" s="646" t="e">
        <f ca="1">"50P2P"&amp;","""&amp;B81&amp;""""</f>
        <v>#DIV/0!</v>
      </c>
      <c r="B81" s="675" t="e">
        <f ca="1">_50P2P</f>
        <v>#DIV/0!</v>
      </c>
    </row>
    <row r="82" spans="1:2">
      <c r="A82" s="646" t="e">
        <f ca="1">"50P3P"&amp;","""&amp;B82&amp;""""</f>
        <v>#DIV/0!</v>
      </c>
      <c r="B82" s="675" t="e">
        <f ca="1">_50P3P</f>
        <v>#DIV/0!</v>
      </c>
    </row>
    <row r="83" spans="1:2">
      <c r="A83" s="646" t="e">
        <f ca="1">"50P4P"&amp;","""&amp;B83&amp;""""</f>
        <v>#DIV/0!</v>
      </c>
      <c r="B83" s="675" t="e">
        <f ca="1">_50P4P</f>
        <v>#DIV/0!</v>
      </c>
    </row>
    <row r="84" spans="1:2">
      <c r="A84" s="645" t="s">
        <v>2217</v>
      </c>
      <c r="B84" s="675"/>
    </row>
    <row r="85" spans="1:2">
      <c r="A85" s="645" t="s">
        <v>2218</v>
      </c>
      <c r="B85" s="675"/>
    </row>
    <row r="86" spans="1:2">
      <c r="A86" s="645" t="s">
        <v>2219</v>
      </c>
      <c r="B86" s="675"/>
    </row>
    <row r="87" spans="1:2">
      <c r="A87" s="645" t="s">
        <v>2220</v>
      </c>
      <c r="B87" s="675"/>
    </row>
    <row r="88" spans="1:2" ht="39.6">
      <c r="A88" s="645" t="str">
        <f>"67P1TC"&amp;","""&amp;B88&amp;""""</f>
        <v>67P1TC,"VAFIM &lt; PMV13 OR VBFIM &lt; PMV13 OR VCFIM &lt; PMV13 #SOTF 50 SUPV 65% NOM"</v>
      </c>
      <c r="B88" s="675" t="str">
        <f>_421_67P1TC</f>
        <v>VAFIM &lt; PMV13 OR VBFIM &lt; PMV13 OR VCFIM &lt; PMV13 #SOTF 50 SUPV 65% NOM</v>
      </c>
    </row>
    <row r="89" spans="1:2">
      <c r="A89" s="645" t="s">
        <v>2221</v>
      </c>
      <c r="B89" s="675"/>
    </row>
    <row r="90" spans="1:2">
      <c r="A90" s="645" t="s">
        <v>2222</v>
      </c>
      <c r="B90" s="675"/>
    </row>
    <row r="91" spans="1:2">
      <c r="A91" s="645" t="s">
        <v>2223</v>
      </c>
      <c r="B91" s="675"/>
    </row>
    <row r="92" spans="1:2">
      <c r="A92" s="645" t="s">
        <v>2224</v>
      </c>
      <c r="B92" s="675"/>
    </row>
    <row r="93" spans="1:2">
      <c r="A93" s="645" t="e">
        <f ca="1">"50G2P"&amp;","""&amp;B93&amp;""""</f>
        <v>#DIV/0!</v>
      </c>
      <c r="B93" s="675" t="e">
        <f ca="1">_50G2P</f>
        <v>#DIV/0!</v>
      </c>
    </row>
    <row r="94" spans="1:2">
      <c r="A94" s="645" t="str">
        <f>"50G3P"&amp;","""&amp;B94&amp;""""</f>
        <v>50G3P,"0.5"</v>
      </c>
      <c r="B94" s="675">
        <f>_50G3P</f>
        <v>0.5</v>
      </c>
    </row>
    <row r="95" spans="1:2">
      <c r="A95" s="645" t="e">
        <f ca="1">"50G4P"&amp;","""&amp;B95&amp;""""</f>
        <v>#DIV/0!</v>
      </c>
      <c r="B95" s="674" t="e">
        <f ca="1">_50G4P</f>
        <v>#DIV/0!</v>
      </c>
    </row>
    <row r="96" spans="1:2">
      <c r="A96" s="645" t="s">
        <v>2225</v>
      </c>
      <c r="B96" s="675"/>
    </row>
    <row r="97" spans="1:2">
      <c r="A97" s="645" t="s">
        <v>2226</v>
      </c>
      <c r="B97" s="675"/>
    </row>
    <row r="98" spans="1:2">
      <c r="A98" s="645" t="s">
        <v>2227</v>
      </c>
      <c r="B98" s="675"/>
    </row>
    <row r="99" spans="1:2">
      <c r="A99" s="645" t="s">
        <v>2228</v>
      </c>
      <c r="B99" s="675"/>
    </row>
    <row r="100" spans="1:2">
      <c r="A100" s="645" t="s">
        <v>2229</v>
      </c>
      <c r="B100" s="675"/>
    </row>
    <row r="101" spans="1:2">
      <c r="A101" s="645" t="s">
        <v>2230</v>
      </c>
      <c r="B101" s="675"/>
    </row>
    <row r="102" spans="1:2">
      <c r="A102" s="645" t="s">
        <v>2231</v>
      </c>
      <c r="B102" s="675"/>
    </row>
    <row r="103" spans="1:2">
      <c r="A103" s="645" t="s">
        <v>2232</v>
      </c>
      <c r="B103" s="675"/>
    </row>
    <row r="104" spans="1:2">
      <c r="A104" s="645" t="s">
        <v>2233</v>
      </c>
      <c r="B104" s="675"/>
    </row>
    <row r="105" spans="1:2">
      <c r="A105" s="645" t="e">
        <f ca="1">"50Q4P"&amp;","""&amp;B105&amp;""""</f>
        <v>#DIV/0!</v>
      </c>
      <c r="B105" s="675" t="e">
        <f ca="1">_50Q4P</f>
        <v>#DIV/0!</v>
      </c>
    </row>
    <row r="106" spans="1:2">
      <c r="A106" s="645" t="s">
        <v>2234</v>
      </c>
      <c r="B106" s="675"/>
    </row>
    <row r="107" spans="1:2">
      <c r="A107" s="645" t="s">
        <v>2235</v>
      </c>
      <c r="B107" s="675"/>
    </row>
    <row r="108" spans="1:2">
      <c r="A108" s="645" t="s">
        <v>2236</v>
      </c>
      <c r="B108" s="675"/>
    </row>
    <row r="109" spans="1:2">
      <c r="A109" s="645" t="s">
        <v>2237</v>
      </c>
      <c r="B109" s="675"/>
    </row>
    <row r="110" spans="1:2">
      <c r="A110" s="645" t="s">
        <v>2238</v>
      </c>
      <c r="B110" s="675"/>
    </row>
    <row r="111" spans="1:2">
      <c r="A111" s="645" t="e">
        <f ca="1">"51S1P"&amp;","""&amp;B111&amp;""""</f>
        <v>#DIV/0!</v>
      </c>
      <c r="B111" s="675" t="e">
        <f ca="1">_51S1P</f>
        <v>#DIV/0!</v>
      </c>
    </row>
    <row r="112" spans="1:2">
      <c r="A112" s="645" t="s">
        <v>2239</v>
      </c>
      <c r="B112" s="675"/>
    </row>
    <row r="113" spans="1:2">
      <c r="A113" s="645" t="s">
        <v>2240</v>
      </c>
      <c r="B113" s="675"/>
    </row>
    <row r="114" spans="1:2">
      <c r="A114" s="645" t="s">
        <v>2241</v>
      </c>
      <c r="B114" s="675"/>
    </row>
    <row r="115" spans="1:2">
      <c r="A115" s="645" t="s">
        <v>2242</v>
      </c>
      <c r="B115" s="675"/>
    </row>
    <row r="116" spans="1:2">
      <c r="A116" s="645" t="s">
        <v>2243</v>
      </c>
      <c r="B116" s="675"/>
    </row>
    <row r="117" spans="1:2">
      <c r="A117" s="645" t="s">
        <v>2244</v>
      </c>
      <c r="B117" s="675"/>
    </row>
    <row r="118" spans="1:2">
      <c r="A118" s="645" t="s">
        <v>2245</v>
      </c>
      <c r="B118" s="675"/>
    </row>
    <row r="119" spans="1:2">
      <c r="A119" s="645" t="s">
        <v>2246</v>
      </c>
      <c r="B119" s="675"/>
    </row>
    <row r="120" spans="1:2">
      <c r="A120" s="645" t="s">
        <v>2247</v>
      </c>
      <c r="B120" s="675"/>
    </row>
    <row r="121" spans="1:2">
      <c r="A121" s="645" t="s">
        <v>2248</v>
      </c>
      <c r="B121" s="675"/>
    </row>
    <row r="122" spans="1:2">
      <c r="A122" s="645" t="s">
        <v>2249</v>
      </c>
      <c r="B122" s="675"/>
    </row>
    <row r="123" spans="1:2">
      <c r="A123" s="645" t="s">
        <v>2250</v>
      </c>
      <c r="B123" s="675"/>
    </row>
    <row r="124" spans="1:2">
      <c r="A124" s="645" t="s">
        <v>2251</v>
      </c>
      <c r="B124" s="675"/>
    </row>
    <row r="125" spans="1:2">
      <c r="A125" s="645" t="s">
        <v>2252</v>
      </c>
      <c r="B125" s="675"/>
    </row>
    <row r="126" spans="1:2">
      <c r="A126" s="645" t="s">
        <v>2253</v>
      </c>
      <c r="B126" s="675"/>
    </row>
    <row r="127" spans="1:2">
      <c r="A127" s="645" t="s">
        <v>2254</v>
      </c>
      <c r="B127" s="675"/>
    </row>
    <row r="128" spans="1:2">
      <c r="A128" s="645" t="s">
        <v>2255</v>
      </c>
      <c r="B128" s="675"/>
    </row>
    <row r="129" spans="1:2">
      <c r="A129" s="645" t="s">
        <v>2256</v>
      </c>
      <c r="B129" s="675"/>
    </row>
    <row r="130" spans="1:2">
      <c r="A130" s="645" t="e">
        <f ca="1">"50FP1"&amp;","""&amp;B130&amp;""""</f>
        <v>#DIV/0!</v>
      </c>
      <c r="B130" s="675" t="e">
        <f ca="1">_50FP1</f>
        <v>#DIV/0!</v>
      </c>
    </row>
    <row r="131" spans="1:2">
      <c r="A131" s="645" t="str">
        <f>"BFPU1"&amp;","""&amp;B131&amp;""""</f>
        <v>BFPU1,"10"</v>
      </c>
      <c r="B131" s="675">
        <f>_BFPU1</f>
        <v>10</v>
      </c>
    </row>
    <row r="132" spans="1:2">
      <c r="A132" s="645" t="s">
        <v>2257</v>
      </c>
      <c r="B132" s="675"/>
    </row>
    <row r="133" spans="1:2">
      <c r="A133" s="645" t="s">
        <v>2258</v>
      </c>
      <c r="B133" s="675"/>
    </row>
    <row r="134" spans="1:2">
      <c r="A134" s="645" t="s">
        <v>2259</v>
      </c>
      <c r="B134" s="675"/>
    </row>
    <row r="135" spans="1:2">
      <c r="A135" s="645" t="s">
        <v>2260</v>
      </c>
      <c r="B135" s="675"/>
    </row>
    <row r="136" spans="1:2">
      <c r="A136" s="645" t="s">
        <v>2261</v>
      </c>
      <c r="B136" s="675"/>
    </row>
    <row r="137" spans="1:2">
      <c r="A137" s="645" t="s">
        <v>2262</v>
      </c>
      <c r="B137" s="675"/>
    </row>
    <row r="138" spans="1:2">
      <c r="A138" s="645" t="s">
        <v>2263</v>
      </c>
      <c r="B138" s="675"/>
    </row>
    <row r="139" spans="1:2">
      <c r="A139" s="645" t="s">
        <v>2264</v>
      </c>
      <c r="B139" s="675"/>
    </row>
    <row r="140" spans="1:2">
      <c r="A140" s="645" t="e">
        <f ca="1">"50RP1"&amp;","""&amp;B140&amp;""""</f>
        <v>#DIV/0!</v>
      </c>
      <c r="B140" s="675" t="e">
        <f ca="1">_50RP1</f>
        <v>#DIV/0!</v>
      </c>
    </row>
    <row r="141" spans="1:2">
      <c r="A141" s="645" t="str">
        <f>"NPU1"&amp;","""&amp;B141&amp;""""</f>
        <v>NPU1,"10"</v>
      </c>
      <c r="B141" s="675">
        <f>_NPU1</f>
        <v>10</v>
      </c>
    </row>
    <row r="142" spans="1:2">
      <c r="A142" s="645" t="s">
        <v>2265</v>
      </c>
      <c r="B142" s="675"/>
    </row>
    <row r="143" spans="1:2">
      <c r="A143" s="645" t="s">
        <v>2266</v>
      </c>
      <c r="B143" s="675"/>
    </row>
    <row r="144" spans="1:2">
      <c r="A144" s="645" t="s">
        <v>2267</v>
      </c>
      <c r="B144" s="675"/>
    </row>
    <row r="145" spans="1:2">
      <c r="A145" s="645" t="s">
        <v>2268</v>
      </c>
      <c r="B145" s="675"/>
    </row>
    <row r="146" spans="1:2">
      <c r="A146" s="645" t="s">
        <v>2269</v>
      </c>
      <c r="B146" s="675"/>
    </row>
    <row r="147" spans="1:2">
      <c r="A147" s="645" t="s">
        <v>2270</v>
      </c>
      <c r="B147" s="675"/>
    </row>
    <row r="148" spans="1:2">
      <c r="A148" s="645" t="s">
        <v>2271</v>
      </c>
      <c r="B148" s="675"/>
    </row>
    <row r="149" spans="1:2">
      <c r="A149" s="645" t="s">
        <v>2272</v>
      </c>
      <c r="B149" s="675"/>
    </row>
    <row r="150" spans="1:2">
      <c r="A150" s="645" t="str">
        <f>"SYNCP"&amp;","""&amp;B150&amp;""""</f>
        <v>SYNCP,"0"</v>
      </c>
      <c r="B150" s="675">
        <f>_SYNCP</f>
        <v>0</v>
      </c>
    </row>
    <row r="151" spans="1:2">
      <c r="A151" s="645" t="e">
        <f>"25VL"&amp;","""&amp;B151&amp;""""</f>
        <v>#VALUE!</v>
      </c>
      <c r="B151" s="675" t="e">
        <f>_25VL</f>
        <v>#VALUE!</v>
      </c>
    </row>
    <row r="152" spans="1:2">
      <c r="A152" s="645" t="e">
        <f>"25VH"&amp;","""&amp;B152&amp;""""</f>
        <v>#VALUE!</v>
      </c>
      <c r="B152" s="675" t="e">
        <f>_25VH</f>
        <v>#VALUE!</v>
      </c>
    </row>
    <row r="153" spans="1:2">
      <c r="A153" s="645" t="s">
        <v>2273</v>
      </c>
      <c r="B153" s="675"/>
    </row>
    <row r="154" spans="1:2">
      <c r="A154" s="645" t="e">
        <f>"KS1M"&amp;","""&amp;B154&amp;""""</f>
        <v>#VALUE!</v>
      </c>
      <c r="B154" s="675" t="e">
        <f>_KS1M</f>
        <v>#VALUE!</v>
      </c>
    </row>
    <row r="155" spans="1:2">
      <c r="A155" s="645" t="s">
        <v>2274</v>
      </c>
      <c r="B155" s="675"/>
    </row>
    <row r="156" spans="1:2">
      <c r="A156" s="645" t="s">
        <v>2275</v>
      </c>
      <c r="B156" s="675"/>
    </row>
    <row r="157" spans="1:2">
      <c r="A157" s="645" t="s">
        <v>2276</v>
      </c>
      <c r="B157" s="675"/>
    </row>
    <row r="158" spans="1:2">
      <c r="A158" s="645" t="s">
        <v>2277</v>
      </c>
      <c r="B158" s="675"/>
    </row>
    <row r="159" spans="1:2">
      <c r="A159" s="645" t="s">
        <v>2278</v>
      </c>
      <c r="B159" s="675"/>
    </row>
    <row r="160" spans="1:2">
      <c r="A160" s="645" t="s">
        <v>2279</v>
      </c>
      <c r="B160" s="675"/>
    </row>
    <row r="161" spans="1:2">
      <c r="A161" s="645" t="s">
        <v>2280</v>
      </c>
      <c r="B161" s="675"/>
    </row>
    <row r="162" spans="1:2">
      <c r="A162" s="645" t="s">
        <v>2281</v>
      </c>
      <c r="B162" s="675"/>
    </row>
    <row r="163" spans="1:2">
      <c r="A163" s="645" t="s">
        <v>2282</v>
      </c>
      <c r="B163" s="675"/>
    </row>
    <row r="164" spans="1:2">
      <c r="A164" s="645" t="s">
        <v>2283</v>
      </c>
      <c r="B164" s="675"/>
    </row>
    <row r="165" spans="1:2">
      <c r="A165" s="645" t="e">
        <f>"27LP"&amp;","""&amp;B165&amp;""""</f>
        <v>#VALUE!</v>
      </c>
      <c r="B165" s="675" t="e">
        <f>_27LP</f>
        <v>#VALUE!</v>
      </c>
    </row>
    <row r="166" spans="1:2">
      <c r="A166" s="645" t="e">
        <f>"59LP"&amp;","""&amp;B166&amp;""""</f>
        <v>#VALUE!</v>
      </c>
      <c r="B166" s="675" t="e">
        <f>_59LP</f>
        <v>#VALUE!</v>
      </c>
    </row>
    <row r="167" spans="1:2">
      <c r="A167" s="645" t="e">
        <f>"27BK1P"&amp;","""&amp;B167&amp;""""</f>
        <v>#VALUE!</v>
      </c>
      <c r="B167" s="675" t="e">
        <f>_27BK1P</f>
        <v>#VALUE!</v>
      </c>
    </row>
    <row r="168" spans="1:2">
      <c r="A168" s="645" t="e">
        <f>"59BK1P"&amp;","""&amp;B168&amp;""""</f>
        <v>#VALUE!</v>
      </c>
      <c r="B168" s="675" t="e">
        <f>_59BK1P</f>
        <v>#VALUE!</v>
      </c>
    </row>
    <row r="169" spans="1:2">
      <c r="A169" s="645" t="s">
        <v>2284</v>
      </c>
      <c r="B169" s="675"/>
    </row>
    <row r="170" spans="1:2">
      <c r="A170" s="645" t="s">
        <v>2285</v>
      </c>
      <c r="B170" s="675"/>
    </row>
    <row r="171" spans="1:2">
      <c r="A171" s="645" t="s">
        <v>2286</v>
      </c>
      <c r="B171" s="675"/>
    </row>
    <row r="172" spans="1:2">
      <c r="A172" s="645" t="s">
        <v>2287</v>
      </c>
      <c r="B172" s="675"/>
    </row>
    <row r="173" spans="1:2" ht="26.4">
      <c r="A173" s="645" t="s">
        <v>2288</v>
      </c>
      <c r="B173" s="675"/>
    </row>
    <row r="174" spans="1:2">
      <c r="A174" s="645" t="s">
        <v>2289</v>
      </c>
      <c r="B174" s="675"/>
    </row>
    <row r="175" spans="1:2">
      <c r="A175" s="645" t="s">
        <v>2290</v>
      </c>
      <c r="B175" s="675"/>
    </row>
    <row r="176" spans="1:2">
      <c r="A176" s="645" t="s">
        <v>2291</v>
      </c>
      <c r="B176" s="675"/>
    </row>
    <row r="177" spans="1:2">
      <c r="A177" s="645" t="s">
        <v>2292</v>
      </c>
      <c r="B177" s="675"/>
    </row>
    <row r="178" spans="1:2">
      <c r="A178" s="645" t="s">
        <v>2293</v>
      </c>
      <c r="B178" s="675"/>
    </row>
    <row r="179" spans="1:2">
      <c r="A179" s="645" t="s">
        <v>2294</v>
      </c>
      <c r="B179" s="675"/>
    </row>
    <row r="180" spans="1:2">
      <c r="A180" s="645" t="s">
        <v>2295</v>
      </c>
      <c r="B180" s="675"/>
    </row>
    <row r="181" spans="1:2">
      <c r="A181" s="645" t="s">
        <v>2296</v>
      </c>
      <c r="B181" s="675"/>
    </row>
    <row r="182" spans="1:2">
      <c r="A182" s="645" t="s">
        <v>2297</v>
      </c>
      <c r="B182" s="675"/>
    </row>
    <row r="183" spans="1:2">
      <c r="A183" s="645" t="s">
        <v>2298</v>
      </c>
      <c r="B183" s="675"/>
    </row>
    <row r="184" spans="1:2">
      <c r="A184" s="645" t="s">
        <v>2299</v>
      </c>
      <c r="B184" s="675"/>
    </row>
    <row r="185" spans="1:2">
      <c r="A185" s="645" t="s">
        <v>2300</v>
      </c>
      <c r="B185" s="675"/>
    </row>
    <row r="186" spans="1:2">
      <c r="A186" s="645" t="s">
        <v>2301</v>
      </c>
      <c r="B186" s="675"/>
    </row>
    <row r="187" spans="1:2">
      <c r="A187" s="645" t="s">
        <v>2302</v>
      </c>
      <c r="B187" s="675"/>
    </row>
    <row r="188" spans="1:2">
      <c r="A188" s="645" t="s">
        <v>2303</v>
      </c>
      <c r="B188" s="675"/>
    </row>
    <row r="189" spans="1:2">
      <c r="A189" s="645" t="s">
        <v>2304</v>
      </c>
      <c r="B189" s="675"/>
    </row>
    <row r="190" spans="1:2" ht="39.6">
      <c r="A190" s="645" t="s">
        <v>2305</v>
      </c>
      <c r="B190" s="675"/>
    </row>
    <row r="191" spans="1:2">
      <c r="A191" s="646" t="s">
        <v>2306</v>
      </c>
      <c r="B191" s="675"/>
    </row>
    <row r="192" spans="1:2">
      <c r="A192" s="645" t="s">
        <v>2307</v>
      </c>
    </row>
    <row r="193" spans="1:1">
      <c r="A193" s="645" t="s">
        <v>2308</v>
      </c>
    </row>
    <row r="194" spans="1:1">
      <c r="A194" s="645" t="s">
        <v>2309</v>
      </c>
    </row>
    <row r="195" spans="1:1">
      <c r="A195" s="645" t="s">
        <v>2310</v>
      </c>
    </row>
    <row r="196" spans="1:1">
      <c r="A196" s="645" t="s">
        <v>2311</v>
      </c>
    </row>
    <row r="197" spans="1:1">
      <c r="A197" s="645" t="s">
        <v>2312</v>
      </c>
    </row>
    <row r="198" spans="1:1">
      <c r="A198" s="645" t="s">
        <v>2313</v>
      </c>
    </row>
    <row r="199" spans="1:1">
      <c r="A199" s="645" t="s">
        <v>2314</v>
      </c>
    </row>
    <row r="200" spans="1:1">
      <c r="A200" s="645" t="s">
        <v>2315</v>
      </c>
    </row>
    <row r="201" spans="1:1">
      <c r="A201" s="645" t="s">
        <v>2316</v>
      </c>
    </row>
    <row r="202" spans="1:1">
      <c r="A202" s="645" t="s">
        <v>2317</v>
      </c>
    </row>
    <row r="203" spans="1:1">
      <c r="A203" s="645" t="s">
        <v>2318</v>
      </c>
    </row>
    <row r="204" spans="1:1">
      <c r="A204" s="645" t="s">
        <v>2319</v>
      </c>
    </row>
    <row r="205" spans="1:1">
      <c r="A205" s="645" t="s">
        <v>2320</v>
      </c>
    </row>
    <row r="206" spans="1:1">
      <c r="A206" s="645" t="s">
        <v>2321</v>
      </c>
    </row>
    <row r="207" spans="1:1">
      <c r="A207" s="645" t="s">
        <v>2322</v>
      </c>
    </row>
    <row r="208" spans="1:1">
      <c r="A208" s="645" t="s">
        <v>2323</v>
      </c>
    </row>
    <row r="209" spans="1:2">
      <c r="A209" s="645" t="s">
        <v>2324</v>
      </c>
    </row>
    <row r="210" spans="1:2">
      <c r="A210" s="645" t="s">
        <v>2325</v>
      </c>
    </row>
    <row r="211" spans="1:2">
      <c r="A211" s="645" t="s">
        <v>2326</v>
      </c>
    </row>
    <row r="212" spans="1:2">
      <c r="A212" s="645" t="s">
        <v>2327</v>
      </c>
    </row>
    <row r="213" spans="1:2">
      <c r="A213" s="645" t="s">
        <v>2328</v>
      </c>
    </row>
    <row r="214" spans="1:2">
      <c r="A214" s="645" t="s">
        <v>2329</v>
      </c>
    </row>
    <row r="215" spans="1:2">
      <c r="A215" s="645" t="s">
        <v>2330</v>
      </c>
    </row>
    <row r="216" spans="1:2">
      <c r="A216" s="645" t="s">
        <v>2331</v>
      </c>
    </row>
    <row r="217" spans="1:2" ht="26.4">
      <c r="A217" s="645" t="str">
        <f>"AUTO_26,"&amp;"""" &amp; "AMV004 := " &amp;  B217 &amp;""""</f>
        <v>AUTO_26,"AMV004 := M * PTRZ *1000 # SYNC SOURCE  VOLTAGE"</v>
      </c>
      <c r="B217" s="675" t="str">
        <f>_AMV004</f>
        <v>M * PTRZ *1000 # SYNC SOURCE  VOLTAGE</v>
      </c>
    </row>
    <row r="218" spans="1:2">
      <c r="A218" s="645" t="s">
        <v>2332</v>
      </c>
    </row>
    <row r="219" spans="1:2">
      <c r="A219" s="645" t="s">
        <v>2333</v>
      </c>
    </row>
    <row r="220" spans="1:2">
      <c r="A220" s="645" t="s">
        <v>2334</v>
      </c>
    </row>
    <row r="221" spans="1:2">
      <c r="A221" s="645" t="s">
        <v>2335</v>
      </c>
    </row>
    <row r="222" spans="1:2">
      <c r="A222" s="645" t="s">
        <v>2336</v>
      </c>
    </row>
    <row r="223" spans="1:2">
      <c r="A223" s="645" t="s">
        <v>2337</v>
      </c>
    </row>
    <row r="224" spans="1:2">
      <c r="A224" s="645" t="s">
        <v>2338</v>
      </c>
    </row>
    <row r="225" spans="1:1">
      <c r="A225" s="645" t="s">
        <v>2339</v>
      </c>
    </row>
    <row r="226" spans="1:1">
      <c r="A226" s="645" t="s">
        <v>2340</v>
      </c>
    </row>
    <row r="227" spans="1:1">
      <c r="A227" s="645" t="s">
        <v>2341</v>
      </c>
    </row>
    <row r="228" spans="1:1">
      <c r="A228" s="645" t="s">
        <v>2342</v>
      </c>
    </row>
    <row r="229" spans="1:1">
      <c r="A229" s="645" t="s">
        <v>2343</v>
      </c>
    </row>
    <row r="230" spans="1:1">
      <c r="A230" s="645" t="s">
        <v>2344</v>
      </c>
    </row>
    <row r="231" spans="1:1">
      <c r="A231" s="645" t="s">
        <v>2345</v>
      </c>
    </row>
  </sheetData>
  <sheetProtection algorithmName="SHA-512" hashValue="2TjUvECflZ+2zs9W59z84Qe09UVzM8HtRpugGAoy8dQrkDRZN9y0myzEc/8HfL5Ote4W7eOhLF11xosg8y1Eqw==" saltValue="rNtD/0vY7oLmPu5zKNoFgA==" spinCount="100000" sheet="1" objects="1" scenarios="1"/>
  <mergeCells count="1">
    <mergeCell ref="G2:I14"/>
  </mergeCells>
  <pageMargins left="0.7" right="0.7" top="0.75" bottom="0.75" header="0.3" footer="0.3"/>
  <pageSetup paperSize="17" scale="76"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ExportToNotepad">
                <anchor moveWithCells="1" sizeWithCells="1">
                  <from>
                    <xdr:col>2</xdr:col>
                    <xdr:colOff>251460</xdr:colOff>
                    <xdr:row>1</xdr:row>
                    <xdr:rowOff>152400</xdr:rowOff>
                  </from>
                  <to>
                    <xdr:col>4</xdr:col>
                    <xdr:colOff>480060</xdr:colOff>
                    <xdr:row>3</xdr:row>
                    <xdr:rowOff>137160</xdr:rowOff>
                  </to>
                </anchor>
              </controlPr>
            </control>
          </mc:Choice>
        </mc:AlternateContent>
        <mc:AlternateContent xmlns:mc="http://schemas.openxmlformats.org/markup-compatibility/2006">
          <mc:Choice Requires="x14">
            <control shapeId="11268" r:id="rId5" name="Group Box 4">
              <controlPr defaultSize="0" autoFill="0" autoPict="0">
                <anchor moveWithCells="1">
                  <from>
                    <xdr:col>2</xdr:col>
                    <xdr:colOff>106680</xdr:colOff>
                    <xdr:row>1</xdr:row>
                    <xdr:rowOff>60960</xdr:rowOff>
                  </from>
                  <to>
                    <xdr:col>4</xdr:col>
                    <xdr:colOff>594360</xdr:colOff>
                    <xdr:row>5</xdr:row>
                    <xdr:rowOff>60960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5">
    <pageSetUpPr fitToPage="1"/>
  </sheetPr>
  <dimension ref="A1:B190"/>
  <sheetViews>
    <sheetView view="pageBreakPreview" zoomScaleNormal="100" zoomScaleSheetLayoutView="100" workbookViewId="0"/>
  </sheetViews>
  <sheetFormatPr defaultRowHeight="13.2"/>
  <cols>
    <col min="1" max="1" width="41.44140625" style="586" customWidth="1"/>
    <col min="2" max="2" width="34.44140625" style="732" bestFit="1" customWidth="1"/>
  </cols>
  <sheetData>
    <row r="1" spans="1:2">
      <c r="A1" s="586" t="s">
        <v>2158</v>
      </c>
      <c r="B1" s="731" t="s">
        <v>2346</v>
      </c>
    </row>
    <row r="2" spans="1:2">
      <c r="A2" s="586" t="s">
        <v>2160</v>
      </c>
    </row>
    <row r="3" spans="1:2" ht="26.4">
      <c r="A3" s="586" t="s">
        <v>2162</v>
      </c>
    </row>
    <row r="4" spans="1:2" ht="26.4">
      <c r="A4" s="586" t="s">
        <v>2163</v>
      </c>
    </row>
    <row r="5" spans="1:2">
      <c r="A5" s="586" t="s">
        <v>2164</v>
      </c>
    </row>
    <row r="6" spans="1:2">
      <c r="A6" s="586" t="s">
        <v>2165</v>
      </c>
    </row>
    <row r="7" spans="1:2">
      <c r="A7" s="586" t="str">
        <f>"CTRW"&amp;","""&amp;'1) Data Entry'!CTR&amp;""""</f>
        <v>CTRW,""</v>
      </c>
    </row>
    <row r="8" spans="1:2">
      <c r="A8" s="586" t="s">
        <v>2166</v>
      </c>
    </row>
    <row r="9" spans="1:2">
      <c r="A9" s="586" t="s">
        <v>2167</v>
      </c>
    </row>
    <row r="10" spans="1:2">
      <c r="A10" s="586" t="s">
        <v>2347</v>
      </c>
      <c r="B10" s="732" t="e">
        <f ca="1">_VNOMY</f>
        <v>#DIV/0!</v>
      </c>
    </row>
    <row r="11" spans="1:2">
      <c r="A11" s="586" t="s">
        <v>2168</v>
      </c>
    </row>
    <row r="12" spans="1:2">
      <c r="A12" s="586" t="s">
        <v>2348</v>
      </c>
      <c r="B12" s="732" t="e">
        <f>_VNOMZ</f>
        <v>#DIV/0!</v>
      </c>
    </row>
    <row r="13" spans="1:2">
      <c r="A13" s="586" t="e">
        <f ca="1">"Z1MAG" &amp;","""&amp;_Z1MAG&amp;""""</f>
        <v>#DIV/0!</v>
      </c>
      <c r="B13" s="732" t="e">
        <f ca="1">_Z1MAG</f>
        <v>#DIV/0!</v>
      </c>
    </row>
    <row r="14" spans="1:2">
      <c r="A14" s="586" t="s">
        <v>2349</v>
      </c>
      <c r="B14" s="732" t="e">
        <f>_Z1ANG</f>
        <v>#DIV/0!</v>
      </c>
    </row>
    <row r="15" spans="1:2">
      <c r="A15" s="586" t="s">
        <v>2350</v>
      </c>
      <c r="B15" s="732" t="e">
        <f ca="1">_Z0MAG</f>
        <v>#DIV/0!</v>
      </c>
    </row>
    <row r="16" spans="1:2">
      <c r="A16" s="586" t="s">
        <v>2351</v>
      </c>
      <c r="B16" s="731" t="e">
        <f>_Z0ANG</f>
        <v>#DIV/0!</v>
      </c>
    </row>
    <row r="17" spans="1:2">
      <c r="A17" s="586" t="s">
        <v>2169</v>
      </c>
    </row>
    <row r="18" spans="1:2">
      <c r="A18" s="586" t="s">
        <v>2170</v>
      </c>
    </row>
    <row r="19" spans="1:2">
      <c r="A19" s="586" t="s">
        <v>2171</v>
      </c>
    </row>
    <row r="20" spans="1:2">
      <c r="A20" s="586" t="s">
        <v>2172</v>
      </c>
    </row>
    <row r="21" spans="1:2">
      <c r="A21" s="586" t="s">
        <v>2352</v>
      </c>
      <c r="B21" s="732" t="e">
        <f ca="1">_E21XG</f>
        <v>#DIV/0!</v>
      </c>
    </row>
    <row r="22" spans="1:2">
      <c r="A22" s="586" t="s">
        <v>2173</v>
      </c>
    </row>
    <row r="23" spans="1:2">
      <c r="A23" s="586" t="s">
        <v>2174</v>
      </c>
    </row>
    <row r="24" spans="1:2">
      <c r="A24" s="586" t="s">
        <v>2175</v>
      </c>
    </row>
    <row r="25" spans="1:2">
      <c r="A25" s="586" t="s">
        <v>2176</v>
      </c>
    </row>
    <row r="26" spans="1:2">
      <c r="A26" s="586" t="s">
        <v>2177</v>
      </c>
    </row>
    <row r="27" spans="1:2">
      <c r="A27" s="586" t="s">
        <v>2178</v>
      </c>
    </row>
    <row r="28" spans="1:2">
      <c r="A28" s="586" t="s">
        <v>2179</v>
      </c>
    </row>
    <row r="29" spans="1:2">
      <c r="A29" s="586" t="s">
        <v>2180</v>
      </c>
    </row>
    <row r="30" spans="1:2">
      <c r="A30" s="586" t="s">
        <v>2181</v>
      </c>
    </row>
    <row r="31" spans="1:2">
      <c r="A31" s="586" t="s">
        <v>2182</v>
      </c>
    </row>
    <row r="32" spans="1:2">
      <c r="A32" s="586" t="s">
        <v>2183</v>
      </c>
    </row>
    <row r="33" spans="1:2">
      <c r="A33" s="586" t="s">
        <v>2184</v>
      </c>
    </row>
    <row r="34" spans="1:2">
      <c r="A34" s="586" t="s">
        <v>2185</v>
      </c>
    </row>
    <row r="35" spans="1:2">
      <c r="A35" s="586" t="s">
        <v>2186</v>
      </c>
    </row>
    <row r="36" spans="1:2">
      <c r="A36" s="586" t="s">
        <v>2187</v>
      </c>
    </row>
    <row r="37" spans="1:2">
      <c r="A37" s="586" t="s">
        <v>2188</v>
      </c>
    </row>
    <row r="38" spans="1:2">
      <c r="A38" s="586" t="s">
        <v>2189</v>
      </c>
    </row>
    <row r="39" spans="1:2">
      <c r="A39" s="586" t="s">
        <v>2190</v>
      </c>
    </row>
    <row r="40" spans="1:2">
      <c r="A40" s="586" t="s">
        <v>2191</v>
      </c>
    </row>
    <row r="41" spans="1:2">
      <c r="A41" s="586" t="s">
        <v>2353</v>
      </c>
      <c r="B41" s="731" t="e">
        <f ca="1">_Z1P</f>
        <v>#DIV/0!</v>
      </c>
    </row>
    <row r="42" spans="1:2">
      <c r="A42" s="586" t="s">
        <v>2354</v>
      </c>
      <c r="B42" s="731" t="e">
        <f ca="1">_Z2P</f>
        <v>#DIV/0!</v>
      </c>
    </row>
    <row r="43" spans="1:2">
      <c r="A43" s="586" t="s">
        <v>2355</v>
      </c>
      <c r="B43" s="731" t="e">
        <f ca="1">_Z3P</f>
        <v>#DIV/0!</v>
      </c>
    </row>
    <row r="44" spans="1:2">
      <c r="A44" s="586" t="s">
        <v>2356</v>
      </c>
      <c r="B44" s="731" t="e">
        <f ca="1">_Z4P</f>
        <v>#DIV/0!</v>
      </c>
    </row>
    <row r="45" spans="1:2">
      <c r="A45" s="586" t="s">
        <v>2357</v>
      </c>
      <c r="B45" s="731" t="e">
        <f ca="1">_Z5P</f>
        <v>#DIV/0!</v>
      </c>
    </row>
    <row r="46" spans="1:2">
      <c r="A46" s="586" t="s">
        <v>2192</v>
      </c>
    </row>
    <row r="47" spans="1:2">
      <c r="A47" s="586" t="s">
        <v>2193</v>
      </c>
    </row>
    <row r="48" spans="1:2">
      <c r="A48" s="586" t="s">
        <v>2194</v>
      </c>
    </row>
    <row r="49" spans="1:2">
      <c r="A49" s="586" t="s">
        <v>2195</v>
      </c>
    </row>
    <row r="50" spans="1:2">
      <c r="A50" s="586" t="s">
        <v>2196</v>
      </c>
    </row>
    <row r="51" spans="1:2">
      <c r="A51" s="586" t="s">
        <v>2358</v>
      </c>
      <c r="B51" s="732" t="e">
        <f ca="1">_Z1MG</f>
        <v>#DIV/0!</v>
      </c>
    </row>
    <row r="52" spans="1:2">
      <c r="A52" s="586" t="s">
        <v>2359</v>
      </c>
      <c r="B52" s="731" t="e">
        <f ca="1">_Z2MG</f>
        <v>#DIV/0!</v>
      </c>
    </row>
    <row r="53" spans="1:2">
      <c r="A53" s="586" t="s">
        <v>2360</v>
      </c>
      <c r="B53" s="732" t="e">
        <f ca="1">_Z3MG</f>
        <v>#DIV/0!</v>
      </c>
    </row>
    <row r="54" spans="1:2">
      <c r="A54" s="586" t="s">
        <v>2361</v>
      </c>
      <c r="B54" s="731" t="e">
        <f ca="1">_Z4MG</f>
        <v>#DIV/0!</v>
      </c>
    </row>
    <row r="55" spans="1:2">
      <c r="A55" s="586" t="s">
        <v>2362</v>
      </c>
      <c r="B55" s="732" t="e">
        <f ca="1">_Z5MG</f>
        <v>#DIV/0!</v>
      </c>
    </row>
    <row r="56" spans="1:2">
      <c r="A56" s="586" t="s">
        <v>2197</v>
      </c>
    </row>
    <row r="57" spans="1:2">
      <c r="A57" s="586" t="s">
        <v>2198</v>
      </c>
    </row>
    <row r="58" spans="1:2">
      <c r="A58" s="586" t="s">
        <v>2199</v>
      </c>
    </row>
    <row r="59" spans="1:2">
      <c r="A59" s="586" t="s">
        <v>2200</v>
      </c>
    </row>
    <row r="60" spans="1:2">
      <c r="A60" s="586" t="s">
        <v>2201</v>
      </c>
    </row>
    <row r="61" spans="1:2">
      <c r="A61" s="586" t="s">
        <v>2363</v>
      </c>
      <c r="B61" s="732" t="e">
        <f ca="1">_k0M1</f>
        <v>#DIV/0!</v>
      </c>
    </row>
    <row r="62" spans="1:2">
      <c r="A62" s="586" t="s">
        <v>2364</v>
      </c>
      <c r="B62" s="732" t="e">
        <f ca="1">_k0A1</f>
        <v>#DIV/0!</v>
      </c>
    </row>
    <row r="63" spans="1:2">
      <c r="A63" s="586" t="s">
        <v>2202</v>
      </c>
    </row>
    <row r="64" spans="1:2">
      <c r="A64" s="586" t="s">
        <v>2203</v>
      </c>
    </row>
    <row r="65" spans="1:2">
      <c r="A65" s="586" t="s">
        <v>2204</v>
      </c>
    </row>
    <row r="66" spans="1:2">
      <c r="A66" s="586" t="s">
        <v>2205</v>
      </c>
    </row>
    <row r="67" spans="1:2">
      <c r="A67" s="586" t="s">
        <v>2206</v>
      </c>
    </row>
    <row r="68" spans="1:2">
      <c r="A68" s="586" t="s">
        <v>2207</v>
      </c>
    </row>
    <row r="69" spans="1:2">
      <c r="A69" s="586" t="s">
        <v>2208</v>
      </c>
    </row>
    <row r="70" spans="1:2">
      <c r="A70" s="586" t="s">
        <v>2209</v>
      </c>
    </row>
    <row r="71" spans="1:2">
      <c r="A71" s="586" t="s">
        <v>2210</v>
      </c>
    </row>
    <row r="72" spans="1:2">
      <c r="A72" s="586" t="s">
        <v>2211</v>
      </c>
    </row>
    <row r="73" spans="1:2">
      <c r="A73" s="586" t="s">
        <v>2212</v>
      </c>
    </row>
    <row r="74" spans="1:2">
      <c r="A74" s="586" t="s">
        <v>2365</v>
      </c>
      <c r="B74" s="732" t="e">
        <f ca="1">_ZLF</f>
        <v>#DIV/0!</v>
      </c>
    </row>
    <row r="75" spans="1:2">
      <c r="A75" s="586" t="s">
        <v>2366</v>
      </c>
      <c r="B75" s="732" t="e">
        <f ca="1">_ZLR</f>
        <v>#DIV/0!</v>
      </c>
    </row>
    <row r="76" spans="1:2">
      <c r="A76" s="586" t="s">
        <v>2213</v>
      </c>
    </row>
    <row r="77" spans="1:2">
      <c r="A77" s="586" t="s">
        <v>2214</v>
      </c>
    </row>
    <row r="78" spans="1:2">
      <c r="A78" s="586" t="s">
        <v>2215</v>
      </c>
    </row>
    <row r="79" spans="1:2">
      <c r="A79" s="586" t="s">
        <v>2216</v>
      </c>
    </row>
    <row r="80" spans="1:2">
      <c r="A80" s="621" t="s">
        <v>2367</v>
      </c>
      <c r="B80" s="732" t="e">
        <f ca="1">_50P1P</f>
        <v>#DIV/0!</v>
      </c>
    </row>
    <row r="81" spans="1:2">
      <c r="A81" s="586" t="s">
        <v>2368</v>
      </c>
      <c r="B81" s="732" t="e">
        <f ca="1">_50P2P</f>
        <v>#DIV/0!</v>
      </c>
    </row>
    <row r="82" spans="1:2">
      <c r="A82" s="586" t="s">
        <v>2369</v>
      </c>
      <c r="B82" s="732" t="e">
        <f ca="1">_50P3P</f>
        <v>#DIV/0!</v>
      </c>
    </row>
    <row r="83" spans="1:2">
      <c r="A83" s="586" t="s">
        <v>2370</v>
      </c>
      <c r="B83" s="732" t="e">
        <f ca="1">_50P4P</f>
        <v>#DIV/0!</v>
      </c>
    </row>
    <row r="84" spans="1:2">
      <c r="A84" s="586" t="s">
        <v>2217</v>
      </c>
    </row>
    <row r="85" spans="1:2">
      <c r="A85" s="586" t="s">
        <v>2218</v>
      </c>
    </row>
    <row r="86" spans="1:2">
      <c r="A86" s="586" t="s">
        <v>2219</v>
      </c>
    </row>
    <row r="87" spans="1:2">
      <c r="A87" s="586" t="s">
        <v>2220</v>
      </c>
    </row>
    <row r="88" spans="1:2" ht="39.6">
      <c r="A88" s="586" t="s">
        <v>2371</v>
      </c>
      <c r="B88" s="734" t="str">
        <f>_421_67P1TC</f>
        <v>VAFIM &lt; PMV13 OR VBFIM &lt; PMV13 OR VCFIM &lt; PMV13 #SOTF 50 SUPV 65% NOM</v>
      </c>
    </row>
    <row r="89" spans="1:2">
      <c r="A89" s="586" t="s">
        <v>2221</v>
      </c>
    </row>
    <row r="90" spans="1:2">
      <c r="A90" s="586" t="s">
        <v>2222</v>
      </c>
    </row>
    <row r="91" spans="1:2">
      <c r="A91" s="586" t="s">
        <v>2223</v>
      </c>
    </row>
    <row r="92" spans="1:2">
      <c r="A92" s="586" t="s">
        <v>2224</v>
      </c>
    </row>
    <row r="93" spans="1:2">
      <c r="A93" s="586" t="s">
        <v>2372</v>
      </c>
      <c r="B93" s="732" t="e">
        <f ca="1">_50G2P</f>
        <v>#DIV/0!</v>
      </c>
    </row>
    <row r="94" spans="1:2">
      <c r="A94" s="586" t="s">
        <v>2373</v>
      </c>
      <c r="B94" s="732">
        <f>_50G3P</f>
        <v>0.5</v>
      </c>
    </row>
    <row r="95" spans="1:2">
      <c r="A95" s="586" t="s">
        <v>2374</v>
      </c>
      <c r="B95" s="731" t="e">
        <f ca="1">_50G4P</f>
        <v>#DIV/0!</v>
      </c>
    </row>
    <row r="96" spans="1:2">
      <c r="A96" s="586" t="s">
        <v>2225</v>
      </c>
    </row>
    <row r="97" spans="1:2">
      <c r="A97" s="586" t="s">
        <v>2226</v>
      </c>
    </row>
    <row r="98" spans="1:2">
      <c r="A98" s="586" t="s">
        <v>2227</v>
      </c>
    </row>
    <row r="99" spans="1:2">
      <c r="A99" s="586" t="s">
        <v>2228</v>
      </c>
    </row>
    <row r="100" spans="1:2">
      <c r="A100" s="586" t="s">
        <v>2229</v>
      </c>
    </row>
    <row r="101" spans="1:2">
      <c r="A101" s="586" t="s">
        <v>2230</v>
      </c>
    </row>
    <row r="102" spans="1:2">
      <c r="A102" s="586" t="s">
        <v>2231</v>
      </c>
    </row>
    <row r="103" spans="1:2">
      <c r="A103" s="586" t="s">
        <v>2232</v>
      </c>
    </row>
    <row r="104" spans="1:2">
      <c r="A104" s="586" t="s">
        <v>2233</v>
      </c>
    </row>
    <row r="105" spans="1:2">
      <c r="A105" s="586" t="s">
        <v>2375</v>
      </c>
      <c r="B105" s="732" t="e">
        <f ca="1">_50Q4P</f>
        <v>#DIV/0!</v>
      </c>
    </row>
    <row r="106" spans="1:2">
      <c r="A106" s="586" t="s">
        <v>2234</v>
      </c>
    </row>
    <row r="107" spans="1:2">
      <c r="A107" s="586" t="s">
        <v>2235</v>
      </c>
    </row>
    <row r="108" spans="1:2">
      <c r="A108" s="586" t="s">
        <v>2236</v>
      </c>
    </row>
    <row r="109" spans="1:2">
      <c r="A109" s="586" t="s">
        <v>2237</v>
      </c>
    </row>
    <row r="110" spans="1:2">
      <c r="A110" s="586" t="s">
        <v>2238</v>
      </c>
    </row>
    <row r="111" spans="1:2">
      <c r="A111" s="586" t="s">
        <v>2376</v>
      </c>
      <c r="B111" s="732" t="e">
        <f ca="1">_51S1P</f>
        <v>#DIV/0!</v>
      </c>
    </row>
    <row r="112" spans="1:2">
      <c r="A112" s="586" t="s">
        <v>2239</v>
      </c>
    </row>
    <row r="113" spans="1:1">
      <c r="A113" s="586" t="s">
        <v>2240</v>
      </c>
    </row>
    <row r="114" spans="1:1">
      <c r="A114" s="586" t="s">
        <v>2241</v>
      </c>
    </row>
    <row r="115" spans="1:1">
      <c r="A115" s="586" t="s">
        <v>2242</v>
      </c>
    </row>
    <row r="116" spans="1:1">
      <c r="A116" s="586" t="s">
        <v>2243</v>
      </c>
    </row>
    <row r="117" spans="1:1">
      <c r="A117" s="586" t="s">
        <v>2244</v>
      </c>
    </row>
    <row r="118" spans="1:1">
      <c r="A118" s="586" t="s">
        <v>2245</v>
      </c>
    </row>
    <row r="119" spans="1:1">
      <c r="A119" s="586" t="s">
        <v>2246</v>
      </c>
    </row>
    <row r="120" spans="1:1">
      <c r="A120" s="586" t="s">
        <v>2247</v>
      </c>
    </row>
    <row r="121" spans="1:1">
      <c r="A121" s="586" t="s">
        <v>2248</v>
      </c>
    </row>
    <row r="122" spans="1:1">
      <c r="A122" s="586" t="s">
        <v>2249</v>
      </c>
    </row>
    <row r="123" spans="1:1">
      <c r="A123" s="586" t="s">
        <v>2250</v>
      </c>
    </row>
    <row r="124" spans="1:1">
      <c r="A124" s="586" t="s">
        <v>2251</v>
      </c>
    </row>
    <row r="125" spans="1:1">
      <c r="A125" s="586" t="s">
        <v>2252</v>
      </c>
    </row>
    <row r="126" spans="1:1">
      <c r="A126" s="586" t="s">
        <v>2253</v>
      </c>
    </row>
    <row r="127" spans="1:1">
      <c r="A127" s="586" t="s">
        <v>2254</v>
      </c>
    </row>
    <row r="128" spans="1:1">
      <c r="A128" s="586" t="s">
        <v>2255</v>
      </c>
    </row>
    <row r="129" spans="1:2" ht="39.6">
      <c r="A129" s="586" t="s">
        <v>2256</v>
      </c>
    </row>
    <row r="130" spans="1:2">
      <c r="A130" s="586" t="s">
        <v>2377</v>
      </c>
      <c r="B130" s="732" t="e">
        <f ca="1">_50FP1</f>
        <v>#DIV/0!</v>
      </c>
    </row>
    <row r="131" spans="1:2">
      <c r="A131" s="586" t="s">
        <v>2378</v>
      </c>
      <c r="B131" s="732">
        <f>_BFPU1</f>
        <v>10</v>
      </c>
    </row>
    <row r="132" spans="1:2">
      <c r="A132" s="586" t="s">
        <v>2257</v>
      </c>
    </row>
    <row r="133" spans="1:2">
      <c r="A133" s="586" t="s">
        <v>2258</v>
      </c>
    </row>
    <row r="134" spans="1:2">
      <c r="A134" s="586" t="s">
        <v>2259</v>
      </c>
    </row>
    <row r="135" spans="1:2">
      <c r="A135" s="586" t="s">
        <v>2260</v>
      </c>
    </row>
    <row r="136" spans="1:2">
      <c r="A136" s="586" t="s">
        <v>2261</v>
      </c>
    </row>
    <row r="137" spans="1:2">
      <c r="A137" s="586" t="s">
        <v>2262</v>
      </c>
    </row>
    <row r="138" spans="1:2">
      <c r="A138" s="586" t="s">
        <v>2263</v>
      </c>
    </row>
    <row r="139" spans="1:2">
      <c r="A139" s="586" t="s">
        <v>2264</v>
      </c>
    </row>
    <row r="140" spans="1:2">
      <c r="A140" s="586" t="s">
        <v>2379</v>
      </c>
      <c r="B140" s="732" t="e">
        <f ca="1">_50RP1</f>
        <v>#DIV/0!</v>
      </c>
    </row>
    <row r="141" spans="1:2">
      <c r="A141" s="586" t="s">
        <v>2380</v>
      </c>
      <c r="B141" s="732">
        <f>_NPU1</f>
        <v>10</v>
      </c>
    </row>
    <row r="142" spans="1:2">
      <c r="A142" s="586" t="s">
        <v>2265</v>
      </c>
    </row>
    <row r="143" spans="1:2">
      <c r="A143" s="586" t="s">
        <v>2266</v>
      </c>
    </row>
    <row r="144" spans="1:2">
      <c r="A144" s="586" t="s">
        <v>2267</v>
      </c>
    </row>
    <row r="145" spans="1:2">
      <c r="A145" s="586" t="s">
        <v>2268</v>
      </c>
    </row>
    <row r="146" spans="1:2">
      <c r="A146" s="586" t="s">
        <v>2269</v>
      </c>
    </row>
    <row r="147" spans="1:2">
      <c r="A147" s="586" t="s">
        <v>2270</v>
      </c>
    </row>
    <row r="148" spans="1:2" ht="26.4">
      <c r="A148" s="586" t="s">
        <v>2271</v>
      </c>
    </row>
    <row r="149" spans="1:2">
      <c r="A149" s="586" t="s">
        <v>2272</v>
      </c>
    </row>
    <row r="150" spans="1:2">
      <c r="A150" s="586" t="s">
        <v>2381</v>
      </c>
      <c r="B150" s="732">
        <f>_SYNCP</f>
        <v>0</v>
      </c>
    </row>
    <row r="151" spans="1:2">
      <c r="A151" s="586" t="s">
        <v>2382</v>
      </c>
      <c r="B151" s="732" t="e">
        <f>_25VL</f>
        <v>#VALUE!</v>
      </c>
    </row>
    <row r="152" spans="1:2">
      <c r="A152" s="586" t="s">
        <v>2383</v>
      </c>
      <c r="B152" s="732" t="e">
        <f>_25VH</f>
        <v>#VALUE!</v>
      </c>
    </row>
    <row r="153" spans="1:2">
      <c r="A153" s="586" t="s">
        <v>2273</v>
      </c>
    </row>
    <row r="154" spans="1:2">
      <c r="A154" s="586" t="s">
        <v>2384</v>
      </c>
      <c r="B154" s="732" t="e">
        <f>_KS1M</f>
        <v>#VALUE!</v>
      </c>
    </row>
    <row r="155" spans="1:2">
      <c r="A155" s="586" t="s">
        <v>2274</v>
      </c>
    </row>
    <row r="156" spans="1:2">
      <c r="A156" s="586" t="s">
        <v>2275</v>
      </c>
    </row>
    <row r="157" spans="1:2">
      <c r="A157" s="586" t="s">
        <v>2276</v>
      </c>
    </row>
    <row r="158" spans="1:2">
      <c r="A158" s="586" t="s">
        <v>2277</v>
      </c>
    </row>
    <row r="159" spans="1:2">
      <c r="A159" s="586" t="s">
        <v>2278</v>
      </c>
    </row>
    <row r="160" spans="1:2">
      <c r="A160" s="586" t="s">
        <v>2279</v>
      </c>
    </row>
    <row r="161" spans="1:2">
      <c r="A161" s="586" t="s">
        <v>2280</v>
      </c>
    </row>
    <row r="162" spans="1:2">
      <c r="A162" s="586" t="s">
        <v>2281</v>
      </c>
    </row>
    <row r="163" spans="1:2">
      <c r="A163" s="586" t="s">
        <v>2282</v>
      </c>
    </row>
    <row r="164" spans="1:2">
      <c r="A164" s="586" t="s">
        <v>2283</v>
      </c>
    </row>
    <row r="165" spans="1:2">
      <c r="A165" s="586" t="s">
        <v>2385</v>
      </c>
      <c r="B165" s="732" t="e">
        <f>_27LP</f>
        <v>#VALUE!</v>
      </c>
    </row>
    <row r="166" spans="1:2">
      <c r="A166" s="586" t="s">
        <v>2386</v>
      </c>
      <c r="B166" s="732" t="e">
        <f>_59LP</f>
        <v>#VALUE!</v>
      </c>
    </row>
    <row r="167" spans="1:2">
      <c r="A167" s="586" t="s">
        <v>2387</v>
      </c>
      <c r="B167" s="732" t="e">
        <f>_27BK1P</f>
        <v>#VALUE!</v>
      </c>
    </row>
    <row r="168" spans="1:2">
      <c r="A168" s="586" t="s">
        <v>2388</v>
      </c>
      <c r="B168" s="732" t="e">
        <f>_59BK1P</f>
        <v>#VALUE!</v>
      </c>
    </row>
    <row r="169" spans="1:2">
      <c r="A169" s="586" t="s">
        <v>2284</v>
      </c>
    </row>
    <row r="170" spans="1:2">
      <c r="A170" s="586" t="s">
        <v>2285</v>
      </c>
    </row>
    <row r="171" spans="1:2">
      <c r="A171" s="586" t="s">
        <v>2286</v>
      </c>
    </row>
    <row r="172" spans="1:2">
      <c r="A172" s="586" t="s">
        <v>2287</v>
      </c>
    </row>
    <row r="173" spans="1:2" ht="39.6">
      <c r="A173" s="586" t="s">
        <v>2288</v>
      </c>
    </row>
    <row r="174" spans="1:2" ht="26.4">
      <c r="A174" s="586" t="s">
        <v>2289</v>
      </c>
    </row>
    <row r="175" spans="1:2">
      <c r="A175" s="586" t="s">
        <v>2290</v>
      </c>
    </row>
    <row r="176" spans="1:2">
      <c r="A176" s="586" t="s">
        <v>2291</v>
      </c>
    </row>
    <row r="177" spans="1:1">
      <c r="A177" s="586" t="s">
        <v>2292</v>
      </c>
    </row>
    <row r="178" spans="1:1">
      <c r="A178" s="586" t="s">
        <v>2293</v>
      </c>
    </row>
    <row r="179" spans="1:1">
      <c r="A179" s="586" t="s">
        <v>2294</v>
      </c>
    </row>
    <row r="180" spans="1:1">
      <c r="A180" s="586" t="s">
        <v>2295</v>
      </c>
    </row>
    <row r="181" spans="1:1">
      <c r="A181" s="586" t="s">
        <v>2296</v>
      </c>
    </row>
    <row r="182" spans="1:1">
      <c r="A182" s="586" t="s">
        <v>2297</v>
      </c>
    </row>
    <row r="183" spans="1:1">
      <c r="A183" s="586" t="s">
        <v>2298</v>
      </c>
    </row>
    <row r="184" spans="1:1">
      <c r="A184" s="586" t="s">
        <v>2299</v>
      </c>
    </row>
    <row r="185" spans="1:1">
      <c r="A185" s="586" t="s">
        <v>2300</v>
      </c>
    </row>
    <row r="186" spans="1:1">
      <c r="A186" s="586" t="s">
        <v>2301</v>
      </c>
    </row>
    <row r="187" spans="1:1">
      <c r="A187" s="586" t="s">
        <v>2302</v>
      </c>
    </row>
    <row r="188" spans="1:1">
      <c r="A188" s="586" t="s">
        <v>2303</v>
      </c>
    </row>
    <row r="189" spans="1:1">
      <c r="A189" s="586" t="s">
        <v>2304</v>
      </c>
    </row>
    <row r="190" spans="1:1" ht="79.2">
      <c r="A190" s="586" t="s">
        <v>2305</v>
      </c>
    </row>
  </sheetData>
  <sheetProtection algorithmName="SHA-512" hashValue="FuzhhgDAFX0rfQTEzihnGoIMNsnf4SnQxO64LadZ/+Q5fmyrF8KWCXehEaLAi4kDOgkFknYVsUmIpatIYoFoxw==" saltValue="B5tSTXKVQT4X2jDxT/f4Ow==" spinCount="100000" sheet="1" objects="1" scenarios="1"/>
  <pageMargins left="0.7" right="0.7" top="0.75" bottom="0.75" header="0.3" footer="0.3"/>
  <pageSetup paperSize="17" scale="86" fitToHeight="2"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pageSetUpPr fitToPage="1"/>
  </sheetPr>
  <dimension ref="A1:J166"/>
  <sheetViews>
    <sheetView view="pageBreakPreview" topLeftCell="A70" zoomScaleNormal="100" zoomScaleSheetLayoutView="100" workbookViewId="0">
      <selection activeCell="O120" sqref="O120"/>
    </sheetView>
  </sheetViews>
  <sheetFormatPr defaultRowHeight="13.2"/>
  <cols>
    <col min="1" max="1" width="43" customWidth="1"/>
    <col min="2" max="2" width="19.44140625" style="103" bestFit="1" customWidth="1"/>
  </cols>
  <sheetData>
    <row r="1" spans="1:10">
      <c r="A1" t="s">
        <v>2158</v>
      </c>
      <c r="B1" s="722" t="s">
        <v>2159</v>
      </c>
    </row>
    <row r="2" spans="1:10" ht="12.75" customHeight="1">
      <c r="A2" t="s">
        <v>2389</v>
      </c>
      <c r="H2" s="1745" t="s">
        <v>2161</v>
      </c>
      <c r="I2" s="2166"/>
      <c r="J2" s="2166"/>
    </row>
    <row r="3" spans="1:10">
      <c r="A3" t="s">
        <v>2390</v>
      </c>
      <c r="H3" s="2166"/>
      <c r="I3" s="2166"/>
      <c r="J3" s="2166"/>
    </row>
    <row r="4" spans="1:10">
      <c r="A4" t="s">
        <v>2391</v>
      </c>
      <c r="H4" s="2166"/>
      <c r="I4" s="2166"/>
      <c r="J4" s="2166"/>
    </row>
    <row r="5" spans="1:10">
      <c r="A5" t="s">
        <v>2392</v>
      </c>
      <c r="H5" s="2166"/>
      <c r="I5" s="2166"/>
      <c r="J5" s="2166"/>
    </row>
    <row r="6" spans="1:10">
      <c r="A6" t="s">
        <v>691</v>
      </c>
      <c r="H6" s="2166"/>
      <c r="I6" s="2166"/>
      <c r="J6" s="2166"/>
    </row>
    <row r="7" spans="1:10">
      <c r="A7" t="s">
        <v>2393</v>
      </c>
      <c r="H7" s="2166"/>
      <c r="I7" s="2166"/>
      <c r="J7" s="2166"/>
    </row>
    <row r="8" spans="1:10">
      <c r="A8" t="s">
        <v>2394</v>
      </c>
      <c r="H8" s="2166"/>
      <c r="I8" s="2166"/>
      <c r="J8" s="2166"/>
    </row>
    <row r="9" spans="1:10">
      <c r="A9" t="s">
        <v>2395</v>
      </c>
      <c r="H9" s="2166"/>
      <c r="I9" s="2166"/>
      <c r="J9" s="2166"/>
    </row>
    <row r="10" spans="1:10">
      <c r="A10" t="str">
        <f ca="1">"CTR"&amp;","""&amp;B10&amp;""""</f>
        <v>CTR,"0"</v>
      </c>
      <c r="B10" s="103">
        <f ca="1">_CTR_per_1</f>
        <v>0</v>
      </c>
      <c r="H10" s="2166"/>
      <c r="I10" s="2166"/>
      <c r="J10" s="2166"/>
    </row>
    <row r="11" spans="1:10">
      <c r="A11" t="s">
        <v>2396</v>
      </c>
      <c r="H11" s="2166"/>
      <c r="I11" s="2166"/>
      <c r="J11" s="2166"/>
    </row>
    <row r="12" spans="1:10">
      <c r="A12" t="str">
        <f ca="1">"PTR"&amp;","""&amp;B12&amp;""""</f>
        <v>PTR,"0"</v>
      </c>
      <c r="B12" s="103">
        <f ca="1">PTR</f>
        <v>0</v>
      </c>
      <c r="H12" s="2166"/>
      <c r="I12" s="2166"/>
      <c r="J12" s="2166"/>
    </row>
    <row r="13" spans="1:10">
      <c r="A13" t="s">
        <v>2397</v>
      </c>
      <c r="H13" s="2166"/>
      <c r="I13" s="2166"/>
      <c r="J13" s="2166"/>
    </row>
    <row r="14" spans="1:10">
      <c r="A14" t="e">
        <f ca="1">"Z1MAG"&amp;","""&amp;B14&amp;""""</f>
        <v>#DIV/0!</v>
      </c>
      <c r="B14" s="103" t="e">
        <f ca="1">_Z1MAG</f>
        <v>#DIV/0!</v>
      </c>
      <c r="H14" s="2166"/>
      <c r="I14" s="2166"/>
      <c r="J14" s="2166"/>
    </row>
    <row r="15" spans="1:10">
      <c r="A15" t="e">
        <f>"Z1ANG"&amp;","""&amp;B15&amp;""""</f>
        <v>#DIV/0!</v>
      </c>
      <c r="B15" s="103" t="e">
        <f>_Z1ANG</f>
        <v>#DIV/0!</v>
      </c>
    </row>
    <row r="16" spans="1:10">
      <c r="A16" t="e">
        <f ca="1">"Z0MAG"&amp;","""&amp;B16&amp;""""</f>
        <v>#DIV/0!</v>
      </c>
      <c r="B16" s="103" t="e">
        <f ca="1">_Z0MAG</f>
        <v>#DIV/0!</v>
      </c>
    </row>
    <row r="17" spans="1:2">
      <c r="A17" t="e">
        <f>"Z0ANG"&amp;","""&amp;B17&amp;""""</f>
        <v>#DIV/0!</v>
      </c>
      <c r="B17" s="103" t="e">
        <f>_Z0ANG</f>
        <v>#DIV/0!</v>
      </c>
    </row>
    <row r="18" spans="1:2">
      <c r="A18" t="s">
        <v>2398</v>
      </c>
    </row>
    <row r="19" spans="1:2">
      <c r="A19" t="s">
        <v>2399</v>
      </c>
    </row>
    <row r="20" spans="1:2">
      <c r="A20" t="s">
        <v>2400</v>
      </c>
    </row>
    <row r="21" spans="1:2">
      <c r="A21" t="s">
        <v>2352</v>
      </c>
    </row>
    <row r="22" spans="1:2">
      <c r="A22" t="s">
        <v>2401</v>
      </c>
    </row>
    <row r="23" spans="1:2">
      <c r="A23" t="s">
        <v>2180</v>
      </c>
    </row>
    <row r="24" spans="1:2">
      <c r="A24" t="s">
        <v>2402</v>
      </c>
    </row>
    <row r="25" spans="1:2">
      <c r="A25" t="s">
        <v>2403</v>
      </c>
    </row>
    <row r="26" spans="1:2">
      <c r="A26" t="s">
        <v>2404</v>
      </c>
    </row>
    <row r="27" spans="1:2">
      <c r="A27" t="s">
        <v>2405</v>
      </c>
    </row>
    <row r="28" spans="1:2">
      <c r="A28" t="s">
        <v>2183</v>
      </c>
    </row>
    <row r="29" spans="1:2">
      <c r="A29" t="s">
        <v>2177</v>
      </c>
    </row>
    <row r="30" spans="1:2">
      <c r="A30" t="s">
        <v>2178</v>
      </c>
    </row>
    <row r="31" spans="1:2">
      <c r="A31" t="s">
        <v>2176</v>
      </c>
    </row>
    <row r="32" spans="1:2">
      <c r="A32" t="s">
        <v>2406</v>
      </c>
    </row>
    <row r="33" spans="1:2">
      <c r="A33" t="s">
        <v>2407</v>
      </c>
    </row>
    <row r="34" spans="1:2">
      <c r="A34" t="s">
        <v>2408</v>
      </c>
    </row>
    <row r="35" spans="1:2">
      <c r="A35" t="s">
        <v>2170</v>
      </c>
    </row>
    <row r="36" spans="1:2">
      <c r="A36" t="s">
        <v>2189</v>
      </c>
    </row>
    <row r="37" spans="1:2">
      <c r="A37" t="s">
        <v>2184</v>
      </c>
    </row>
    <row r="38" spans="1:2">
      <c r="A38" t="s">
        <v>2187</v>
      </c>
    </row>
    <row r="39" spans="1:2">
      <c r="A39" t="s">
        <v>2409</v>
      </c>
    </row>
    <row r="40" spans="1:2">
      <c r="A40" t="s">
        <v>2410</v>
      </c>
    </row>
    <row r="41" spans="1:2">
      <c r="A41" t="s">
        <v>2411</v>
      </c>
    </row>
    <row r="42" spans="1:2">
      <c r="A42" t="s">
        <v>2412</v>
      </c>
    </row>
    <row r="43" spans="1:2">
      <c r="A43" t="s">
        <v>2413</v>
      </c>
    </row>
    <row r="44" spans="1:2">
      <c r="A44" t="s">
        <v>2190</v>
      </c>
    </row>
    <row r="45" spans="1:2">
      <c r="A45" t="s">
        <v>2191</v>
      </c>
    </row>
    <row r="46" spans="1:2">
      <c r="A46" t="e">
        <f ca="1">"Z1P"&amp;","""&amp;B46&amp;""""</f>
        <v>#DIV/0!</v>
      </c>
      <c r="B46" s="103" t="e">
        <f ca="1">_Z1P</f>
        <v>#DIV/0!</v>
      </c>
    </row>
    <row r="47" spans="1:2">
      <c r="A47" s="670" t="e">
        <f ca="1">"Z2P"&amp;","""&amp;B47&amp;""""</f>
        <v>#DIV/0!</v>
      </c>
      <c r="B47" s="103" t="e">
        <f ca="1">_Z2P</f>
        <v>#DIV/0!</v>
      </c>
    </row>
    <row r="48" spans="1:2">
      <c r="A48" t="e">
        <f ca="1">"Z3P"&amp;","""&amp;B48&amp;""""</f>
        <v>#DIV/0!</v>
      </c>
      <c r="B48" s="103" t="e">
        <f ca="1">_Z3P</f>
        <v>#DIV/0!</v>
      </c>
    </row>
    <row r="49" spans="1:2">
      <c r="A49" t="e">
        <f ca="1">"Z4P"&amp;","""&amp;B49&amp;""""</f>
        <v>#DIV/0!</v>
      </c>
      <c r="B49" s="103" t="e">
        <f ca="1">_Z4P</f>
        <v>#DIV/0!</v>
      </c>
    </row>
    <row r="50" spans="1:2">
      <c r="A50" t="e">
        <f ca="1">"50PP1"&amp;","""&amp;B50&amp;""""</f>
        <v>#DIV/0!</v>
      </c>
      <c r="B50" s="732" t="e">
        <f ca="1">_50PP1</f>
        <v>#DIV/0!</v>
      </c>
    </row>
    <row r="51" spans="1:2">
      <c r="A51" t="e">
        <f ca="1">"Z1MG"&amp;","""&amp;B51&amp;""""</f>
        <v>#DIV/0!</v>
      </c>
      <c r="B51" s="103" t="e">
        <f ca="1">_Z1MG</f>
        <v>#DIV/0!</v>
      </c>
    </row>
    <row r="52" spans="1:2">
      <c r="A52" t="e">
        <f ca="1">"Z2MG"&amp;","""&amp;B52&amp;""""</f>
        <v>#DIV/0!</v>
      </c>
      <c r="B52" s="103" t="e">
        <f ca="1">_Z2MG</f>
        <v>#DIV/0!</v>
      </c>
    </row>
    <row r="53" spans="1:2">
      <c r="A53" t="e">
        <f ca="1">"Z3MG"&amp;","""&amp;B53&amp;""""</f>
        <v>#DIV/0!</v>
      </c>
      <c r="B53" s="103" t="e">
        <f ca="1">_Z3MG</f>
        <v>#DIV/0!</v>
      </c>
    </row>
    <row r="54" spans="1:2">
      <c r="A54" t="e">
        <f ca="1">"Z4MG"&amp;","""&amp;B54&amp;""""</f>
        <v>#DIV/0!</v>
      </c>
      <c r="B54" s="103" t="e">
        <f ca="1">_Z4MG</f>
        <v>#DIV/0!</v>
      </c>
    </row>
    <row r="55" spans="1:2">
      <c r="A55" t="s">
        <v>2414</v>
      </c>
    </row>
    <row r="56" spans="1:2">
      <c r="A56" t="s">
        <v>2415</v>
      </c>
    </row>
    <row r="57" spans="1:2">
      <c r="A57" t="e">
        <f ca="1">"k0M1"&amp;","""&amp;B57&amp;""""</f>
        <v>#DIV/0!</v>
      </c>
      <c r="B57" s="732" t="e">
        <f ca="1">_k0M1</f>
        <v>#DIV/0!</v>
      </c>
    </row>
    <row r="58" spans="1:2">
      <c r="A58" t="e">
        <f ca="1">"k0A1"&amp;","""&amp;B58&amp;""""</f>
        <v>#DIV/0!</v>
      </c>
      <c r="B58" s="732" t="e">
        <f ca="1">_k0A1</f>
        <v>#DIV/0!</v>
      </c>
    </row>
    <row r="59" spans="1:2">
      <c r="A59" t="s">
        <v>2192</v>
      </c>
    </row>
    <row r="60" spans="1:2">
      <c r="A60" t="s">
        <v>2193</v>
      </c>
    </row>
    <row r="61" spans="1:2">
      <c r="A61" t="s">
        <v>2194</v>
      </c>
    </row>
    <row r="62" spans="1:2">
      <c r="A62" t="s">
        <v>2416</v>
      </c>
    </row>
    <row r="63" spans="1:2">
      <c r="A63" t="s">
        <v>2197</v>
      </c>
    </row>
    <row r="64" spans="1:2">
      <c r="A64" t="s">
        <v>2198</v>
      </c>
    </row>
    <row r="65" spans="1:4">
      <c r="A65" t="s">
        <v>2199</v>
      </c>
    </row>
    <row r="66" spans="1:4">
      <c r="A66" t="s">
        <v>2417</v>
      </c>
    </row>
    <row r="67" spans="1:4">
      <c r="A67" t="s">
        <v>2418</v>
      </c>
    </row>
    <row r="68" spans="1:4">
      <c r="A68" t="s">
        <v>2419</v>
      </c>
    </row>
    <row r="69" spans="1:4">
      <c r="A69" t="s">
        <v>2204</v>
      </c>
    </row>
    <row r="70" spans="1:4">
      <c r="A70" t="s">
        <v>2420</v>
      </c>
    </row>
    <row r="71" spans="1:4">
      <c r="A71" t="e">
        <f ca="1">"50P1P"&amp;","""&amp;B71&amp;""""</f>
        <v>#DIV/0!</v>
      </c>
      <c r="B71" s="103" t="e">
        <f ca="1">_50P1P</f>
        <v>#DIV/0!</v>
      </c>
    </row>
    <row r="72" spans="1:4">
      <c r="A72" t="e">
        <f ca="1">"50P2P"&amp;","""&amp;B72&amp;""""</f>
        <v>#DIV/0!</v>
      </c>
      <c r="B72" s="103" t="e">
        <f ca="1">_50P2P</f>
        <v>#DIV/0!</v>
      </c>
    </row>
    <row r="73" spans="1:4">
      <c r="A73" t="e">
        <f ca="1">"50P3P"&amp;","""&amp;B73&amp;""""</f>
        <v>#DIV/0!</v>
      </c>
      <c r="B73" s="103" t="e">
        <f ca="1">_50P3P</f>
        <v>#DIV/0!</v>
      </c>
    </row>
    <row r="74" spans="1:4">
      <c r="A74" t="s">
        <v>2421</v>
      </c>
    </row>
    <row r="75" spans="1:4">
      <c r="A75" t="s">
        <v>2422</v>
      </c>
    </row>
    <row r="76" spans="1:4">
      <c r="A76" t="s">
        <v>2423</v>
      </c>
    </row>
    <row r="77" spans="1:4">
      <c r="A77" t="s">
        <v>2224</v>
      </c>
    </row>
    <row r="78" spans="1:4">
      <c r="A78" t="e">
        <f ca="1">"50G2P"&amp;","""&amp;B78&amp;""""</f>
        <v>#DIV/0!</v>
      </c>
      <c r="B78" s="103" t="e">
        <f ca="1">_50G2P</f>
        <v>#DIV/0!</v>
      </c>
    </row>
    <row r="79" spans="1:4">
      <c r="A79" s="670" t="str">
        <f>"50G3P"&amp;","""&amp;B79&amp;""""</f>
        <v>50G3P,"0.5"</v>
      </c>
      <c r="B79" s="103">
        <f>_50G3P</f>
        <v>0.5</v>
      </c>
    </row>
    <row r="80" spans="1:4">
      <c r="A80" t="e">
        <f ca="1">"50G4P"&amp;","""&amp;B80&amp;""""</f>
        <v>#DIV/0!</v>
      </c>
      <c r="B80" s="103" t="e">
        <f ca="1">_50G4P</f>
        <v>#DIV/0!</v>
      </c>
      <c r="D80" s="670" t="s">
        <v>1462</v>
      </c>
    </row>
    <row r="81" spans="1:2">
      <c r="A81" t="s">
        <v>2424</v>
      </c>
    </row>
    <row r="82" spans="1:2">
      <c r="A82" t="str">
        <f>"67G2D"&amp;","""&amp;B82&amp;""""</f>
        <v>67G2D,"10"</v>
      </c>
      <c r="B82" s="103">
        <f>_67G2D</f>
        <v>10</v>
      </c>
    </row>
    <row r="83" spans="1:2">
      <c r="A83" t="s">
        <v>2425</v>
      </c>
    </row>
    <row r="84" spans="1:2">
      <c r="A84" t="s">
        <v>2426</v>
      </c>
    </row>
    <row r="85" spans="1:2">
      <c r="A85" t="e">
        <f ca="1">"50Q1P"&amp;","""&amp;B85&amp;""""</f>
        <v>#DIV/0!</v>
      </c>
      <c r="B85" s="103" t="e">
        <f ca="1">_50Q1P</f>
        <v>#DIV/0!</v>
      </c>
    </row>
    <row r="86" spans="1:2">
      <c r="A86" t="s">
        <v>2232</v>
      </c>
    </row>
    <row r="87" spans="1:2">
      <c r="A87" t="s">
        <v>2233</v>
      </c>
    </row>
    <row r="88" spans="1:2">
      <c r="A88" t="s">
        <v>2427</v>
      </c>
    </row>
    <row r="89" spans="1:2">
      <c r="A89" t="s">
        <v>2428</v>
      </c>
    </row>
    <row r="90" spans="1:2">
      <c r="A90" t="s">
        <v>2429</v>
      </c>
    </row>
    <row r="91" spans="1:2">
      <c r="A91" t="e">
        <f ca="1">"51PP"&amp;","""&amp;B91&amp;""""</f>
        <v>#DIV/0!</v>
      </c>
      <c r="B91" s="103" t="e">
        <f ca="1">_51PP</f>
        <v>#DIV/0!</v>
      </c>
    </row>
    <row r="92" spans="1:2">
      <c r="A92" t="s">
        <v>2430</v>
      </c>
    </row>
    <row r="93" spans="1:2">
      <c r="A93" t="s">
        <v>2431</v>
      </c>
    </row>
    <row r="94" spans="1:2">
      <c r="A94" t="s">
        <v>2432</v>
      </c>
    </row>
    <row r="95" spans="1:2">
      <c r="A95" t="e">
        <f ca="1">"51GP"&amp;","""&amp;B95&amp;""""</f>
        <v>#DIV/0!</v>
      </c>
      <c r="B95" s="103" t="e">
        <f ca="1">_51GP</f>
        <v>#DIV/0!</v>
      </c>
    </row>
    <row r="96" spans="1:2">
      <c r="A96" t="s">
        <v>2433</v>
      </c>
    </row>
    <row r="97" spans="1:2">
      <c r="A97" t="s">
        <v>2434</v>
      </c>
    </row>
    <row r="98" spans="1:2">
      <c r="A98" t="s">
        <v>2435</v>
      </c>
    </row>
    <row r="99" spans="1:2">
      <c r="A99" t="e">
        <f ca="1">"ZLF"&amp;","""&amp;B99&amp;""""</f>
        <v>#DIV/0!</v>
      </c>
      <c r="B99" s="103" t="e">
        <f ca="1">_ZLF</f>
        <v>#DIV/0!</v>
      </c>
    </row>
    <row r="100" spans="1:2">
      <c r="A100" t="e">
        <f ca="1">"ZLR"&amp;","""&amp;B100&amp;""""</f>
        <v>#DIV/0!</v>
      </c>
      <c r="B100" s="103" t="e">
        <f ca="1">_ZLR</f>
        <v>#DIV/0!</v>
      </c>
    </row>
    <row r="101" spans="1:2">
      <c r="A101" t="s">
        <v>2436</v>
      </c>
    </row>
    <row r="102" spans="1:2">
      <c r="A102" t="s">
        <v>2437</v>
      </c>
    </row>
    <row r="103" spans="1:2">
      <c r="A103" t="s">
        <v>2438</v>
      </c>
    </row>
    <row r="104" spans="1:2">
      <c r="A104" t="s">
        <v>2439</v>
      </c>
    </row>
    <row r="105" spans="1:2">
      <c r="A105" t="s">
        <v>2243</v>
      </c>
    </row>
    <row r="106" spans="1:2">
      <c r="A106" t="s">
        <v>2244</v>
      </c>
    </row>
    <row r="107" spans="1:2">
      <c r="A107" t="s">
        <v>2246</v>
      </c>
    </row>
    <row r="108" spans="1:2">
      <c r="A108" t="e">
        <f ca="1">"27P"&amp;","""&amp;B108&amp;""""</f>
        <v>#DIV/0!</v>
      </c>
      <c r="B108" s="103" t="e">
        <f ca="1">_27P</f>
        <v>#DIV/0!</v>
      </c>
    </row>
    <row r="109" spans="1:2">
      <c r="A109" t="e">
        <f ca="1">"59P"&amp;","""&amp;B109&amp;""""</f>
        <v>#DIV/0!</v>
      </c>
      <c r="B109" s="732" t="e">
        <f ca="1">_59P</f>
        <v>#DIV/0!</v>
      </c>
    </row>
    <row r="110" spans="1:2">
      <c r="A110" t="e">
        <f ca="1">"59N1P"&amp;","""&amp;B110&amp;""""</f>
        <v>#DIV/0!</v>
      </c>
      <c r="B110" s="103" t="e">
        <f ca="1">_59N1P</f>
        <v>#DIV/0!</v>
      </c>
    </row>
    <row r="111" spans="1:2">
      <c r="A111" t="str">
        <f>"59N2P"&amp;","""&amp;B111&amp;""""</f>
        <v>59N2P,"10"</v>
      </c>
      <c r="B111" s="103">
        <f>_59N2P</f>
        <v>10</v>
      </c>
    </row>
    <row r="112" spans="1:2">
      <c r="A112" t="s">
        <v>2440</v>
      </c>
    </row>
    <row r="113" spans="1:2">
      <c r="A113" t="s">
        <v>2441</v>
      </c>
    </row>
    <row r="114" spans="1:2">
      <c r="A114" t="s">
        <v>2442</v>
      </c>
    </row>
    <row r="115" spans="1:2">
      <c r="A115" t="e">
        <f>"59SP"&amp;","""&amp;B115&amp;""""</f>
        <v>#VALUE!</v>
      </c>
      <c r="B115" s="103" t="e">
        <f>_59SP</f>
        <v>#VALUE!</v>
      </c>
    </row>
    <row r="116" spans="1:2">
      <c r="A116" t="e">
        <f ca="1">"27PP"&amp;","""&amp;B116&amp;""""</f>
        <v>#DIV/0!</v>
      </c>
      <c r="B116" s="103" t="e">
        <f ca="1">_27PP</f>
        <v>#DIV/0!</v>
      </c>
    </row>
    <row r="117" spans="1:2">
      <c r="A117" t="s">
        <v>2443</v>
      </c>
    </row>
    <row r="118" spans="1:2">
      <c r="A118" t="s">
        <v>2210</v>
      </c>
    </row>
    <row r="119" spans="1:2">
      <c r="A119" t="s">
        <v>2444</v>
      </c>
    </row>
    <row r="120" spans="1:2">
      <c r="A120" t="s">
        <v>2445</v>
      </c>
    </row>
    <row r="121" spans="1:2">
      <c r="A121" t="s">
        <v>2446</v>
      </c>
    </row>
    <row r="122" spans="1:2">
      <c r="A122" t="s">
        <v>2447</v>
      </c>
    </row>
    <row r="123" spans="1:2">
      <c r="A123" t="s">
        <v>2448</v>
      </c>
    </row>
    <row r="124" spans="1:2">
      <c r="A124" t="s">
        <v>2449</v>
      </c>
    </row>
    <row r="125" spans="1:2">
      <c r="A125" t="s">
        <v>2255</v>
      </c>
    </row>
    <row r="126" spans="1:2">
      <c r="A126" t="s">
        <v>2284</v>
      </c>
    </row>
    <row r="127" spans="1:2">
      <c r="A127" t="s">
        <v>2285</v>
      </c>
    </row>
    <row r="128" spans="1:2">
      <c r="A128" t="s">
        <v>2286</v>
      </c>
    </row>
    <row r="129" spans="1:1">
      <c r="A129" t="s">
        <v>2287</v>
      </c>
    </row>
    <row r="130" spans="1:1">
      <c r="A130" t="s">
        <v>2450</v>
      </c>
    </row>
    <row r="131" spans="1:1">
      <c r="A131" t="s">
        <v>2451</v>
      </c>
    </row>
    <row r="132" spans="1:1">
      <c r="A132" t="s">
        <v>2452</v>
      </c>
    </row>
    <row r="133" spans="1:1">
      <c r="A133" t="s">
        <v>2453</v>
      </c>
    </row>
    <row r="134" spans="1:1">
      <c r="A134" t="s">
        <v>2454</v>
      </c>
    </row>
    <row r="135" spans="1:1">
      <c r="A135" t="s">
        <v>2455</v>
      </c>
    </row>
    <row r="136" spans="1:1">
      <c r="A136" t="s">
        <v>2456</v>
      </c>
    </row>
    <row r="137" spans="1:1">
      <c r="A137" t="s">
        <v>2457</v>
      </c>
    </row>
    <row r="138" spans="1:1">
      <c r="A138" t="s">
        <v>2458</v>
      </c>
    </row>
    <row r="139" spans="1:1">
      <c r="A139" t="s">
        <v>2459</v>
      </c>
    </row>
    <row r="140" spans="1:1">
      <c r="A140" t="s">
        <v>2460</v>
      </c>
    </row>
    <row r="141" spans="1:1">
      <c r="A141" t="s">
        <v>2461</v>
      </c>
    </row>
    <row r="142" spans="1:1">
      <c r="A142" t="s">
        <v>2462</v>
      </c>
    </row>
    <row r="143" spans="1:1">
      <c r="A143" t="s">
        <v>2463</v>
      </c>
    </row>
    <row r="144" spans="1:1">
      <c r="A144" t="s">
        <v>2464</v>
      </c>
    </row>
    <row r="145" spans="1:1">
      <c r="A145" t="s">
        <v>2465</v>
      </c>
    </row>
    <row r="146" spans="1:1">
      <c r="A146" t="s">
        <v>2466</v>
      </c>
    </row>
    <row r="147" spans="1:1">
      <c r="A147" t="s">
        <v>2467</v>
      </c>
    </row>
    <row r="148" spans="1:1">
      <c r="A148" t="s">
        <v>2468</v>
      </c>
    </row>
    <row r="149" spans="1:1">
      <c r="A149" t="s">
        <v>2469</v>
      </c>
    </row>
    <row r="150" spans="1:1">
      <c r="A150" t="s">
        <v>2470</v>
      </c>
    </row>
    <row r="151" spans="1:1">
      <c r="A151" t="s">
        <v>2471</v>
      </c>
    </row>
    <row r="152" spans="1:1">
      <c r="A152" t="s">
        <v>2472</v>
      </c>
    </row>
    <row r="153" spans="1:1">
      <c r="A153" t="s">
        <v>2473</v>
      </c>
    </row>
    <row r="154" spans="1:1">
      <c r="A154" t="s">
        <v>2474</v>
      </c>
    </row>
    <row r="155" spans="1:1">
      <c r="A155" t="s">
        <v>2475</v>
      </c>
    </row>
    <row r="156" spans="1:1">
      <c r="A156" t="s">
        <v>2476</v>
      </c>
    </row>
    <row r="157" spans="1:1">
      <c r="A157" t="s">
        <v>2477</v>
      </c>
    </row>
    <row r="158" spans="1:1">
      <c r="A158" t="s">
        <v>2478</v>
      </c>
    </row>
    <row r="159" spans="1:1">
      <c r="A159" t="s">
        <v>2479</v>
      </c>
    </row>
    <row r="160" spans="1:1">
      <c r="A160" t="s">
        <v>2480</v>
      </c>
    </row>
    <row r="161" spans="1:1">
      <c r="A161" t="s">
        <v>2481</v>
      </c>
    </row>
    <row r="162" spans="1:1">
      <c r="A162" t="s">
        <v>2482</v>
      </c>
    </row>
    <row r="163" spans="1:1">
      <c r="A163" t="s">
        <v>2483</v>
      </c>
    </row>
    <row r="164" spans="1:1">
      <c r="A164" t="s">
        <v>2484</v>
      </c>
    </row>
    <row r="165" spans="1:1">
      <c r="A165" t="s">
        <v>2485</v>
      </c>
    </row>
    <row r="166" spans="1:1">
      <c r="A166" t="s">
        <v>2486</v>
      </c>
    </row>
  </sheetData>
  <sheetProtection algorithmName="SHA-512" hashValue="ggff+wyC579zmszaFVdfhl8Te9vcowHcR3lirAYFWVJ4dgSSPB3hHTjYyhlbDyudSmQDK0WhC6yvXX1FQ9t06A==" saltValue="oOf9EVkit30SzBwj6fvMAw==" spinCount="100000" sheet="1" objects="1" scenarios="1"/>
  <mergeCells count="1">
    <mergeCell ref="H2:J14"/>
  </mergeCells>
  <pageMargins left="0.7" right="0.7" top="0.75" bottom="0.75" header="0.3" footer="0.3"/>
  <pageSetup paperSize="17" fitToHeight="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ToNotepad">
                <anchor moveWithCells="1" sizeWithCells="1">
                  <from>
                    <xdr:col>4</xdr:col>
                    <xdr:colOff>30480</xdr:colOff>
                    <xdr:row>2</xdr:row>
                    <xdr:rowOff>22860</xdr:rowOff>
                  </from>
                  <to>
                    <xdr:col>6</xdr:col>
                    <xdr:colOff>60960</xdr:colOff>
                    <xdr:row>3</xdr:row>
                    <xdr:rowOff>152400</xdr:rowOff>
                  </to>
                </anchor>
              </controlPr>
            </control>
          </mc:Choice>
        </mc:AlternateContent>
        <mc:AlternateContent xmlns:mc="http://schemas.openxmlformats.org/markup-compatibility/2006">
          <mc:Choice Requires="x14">
            <control shapeId="25603" r:id="rId5" name="Group Box 3">
              <controlPr defaultSize="0" autoFill="0" autoPict="0">
                <anchor moveWithCells="1">
                  <from>
                    <xdr:col>3</xdr:col>
                    <xdr:colOff>518160</xdr:colOff>
                    <xdr:row>1</xdr:row>
                    <xdr:rowOff>22860</xdr:rowOff>
                  </from>
                  <to>
                    <xdr:col>6</xdr:col>
                    <xdr:colOff>220980</xdr:colOff>
                    <xdr:row>4</xdr:row>
                    <xdr:rowOff>114300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1"/>
  <dimension ref="A1:F155"/>
  <sheetViews>
    <sheetView workbookViewId="0">
      <selection activeCell="H112" sqref="B112:H114"/>
    </sheetView>
  </sheetViews>
  <sheetFormatPr defaultRowHeight="13.2"/>
  <cols>
    <col min="1" max="1" width="11.6640625" customWidth="1"/>
    <col min="2" max="2" width="21.88671875" bestFit="1" customWidth="1"/>
    <col min="3" max="3" width="15.109375" bestFit="1" customWidth="1"/>
    <col min="4" max="4" width="69.33203125" bestFit="1" customWidth="1"/>
    <col min="5" max="5" width="68.109375" bestFit="1" customWidth="1"/>
    <col min="6" max="6" width="14.5546875" customWidth="1"/>
  </cols>
  <sheetData>
    <row r="1" spans="1:6" ht="13.8" thickBot="1">
      <c r="A1" s="866" t="s">
        <v>2487</v>
      </c>
      <c r="B1" s="866" t="s">
        <v>2488</v>
      </c>
      <c r="C1" s="866" t="s">
        <v>2489</v>
      </c>
      <c r="D1" s="866" t="s">
        <v>2490</v>
      </c>
      <c r="E1" s="866" t="s">
        <v>2491</v>
      </c>
      <c r="F1" s="866" t="s">
        <v>2492</v>
      </c>
    </row>
    <row r="2" spans="1:6" ht="13.8" thickTop="1">
      <c r="A2" t="s">
        <v>2493</v>
      </c>
      <c r="B2" t="s">
        <v>2494</v>
      </c>
      <c r="C2" t="s">
        <v>2495</v>
      </c>
      <c r="D2" s="303" t="s">
        <v>2496</v>
      </c>
      <c r="E2" s="303" t="s">
        <v>2497</v>
      </c>
      <c r="F2" s="867">
        <v>45293.580914351849</v>
      </c>
    </row>
    <row r="3" spans="1:6">
      <c r="A3" t="s">
        <v>2493</v>
      </c>
      <c r="B3" t="s">
        <v>2494</v>
      </c>
      <c r="C3" t="s">
        <v>2498</v>
      </c>
      <c r="D3" s="303" t="s">
        <v>2499</v>
      </c>
      <c r="E3" s="303" t="s">
        <v>2500</v>
      </c>
      <c r="F3" s="867">
        <v>45662.75172453704</v>
      </c>
    </row>
    <row r="4" spans="1:6">
      <c r="A4" t="s">
        <v>2493</v>
      </c>
      <c r="B4" t="s">
        <v>2494</v>
      </c>
      <c r="C4" t="s">
        <v>2501</v>
      </c>
      <c r="D4" s="303" t="s">
        <v>2502</v>
      </c>
      <c r="E4" s="303" t="s">
        <v>2503</v>
      </c>
      <c r="F4" s="867">
        <v>45662.758391203701</v>
      </c>
    </row>
    <row r="5" spans="1:6">
      <c r="A5" t="s">
        <v>2493</v>
      </c>
      <c r="B5" t="s">
        <v>2494</v>
      </c>
      <c r="C5" t="s">
        <v>2501</v>
      </c>
      <c r="D5" s="303" t="s">
        <v>2503</v>
      </c>
      <c r="E5" s="303" t="s">
        <v>2504</v>
      </c>
      <c r="F5" s="867">
        <v>45662.758449074077</v>
      </c>
    </row>
    <row r="6" spans="1:6">
      <c r="A6" t="s">
        <v>2493</v>
      </c>
      <c r="B6" t="s">
        <v>2494</v>
      </c>
      <c r="C6" t="s">
        <v>2501</v>
      </c>
      <c r="D6" s="303" t="s">
        <v>2504</v>
      </c>
      <c r="E6" s="303" t="s">
        <v>2505</v>
      </c>
      <c r="F6" s="867">
        <v>45662.758645833332</v>
      </c>
    </row>
    <row r="7" spans="1:6">
      <c r="A7" t="s">
        <v>2493</v>
      </c>
      <c r="B7" t="s">
        <v>2494</v>
      </c>
      <c r="C7" t="s">
        <v>2506</v>
      </c>
      <c r="D7" s="303" t="s">
        <v>2507</v>
      </c>
      <c r="E7" s="303" t="s">
        <v>2508</v>
      </c>
      <c r="F7" s="867">
        <v>45662.766585648147</v>
      </c>
    </row>
    <row r="8" spans="1:6">
      <c r="A8" t="s">
        <v>2493</v>
      </c>
      <c r="B8" t="s">
        <v>2494</v>
      </c>
      <c r="C8" t="s">
        <v>2506</v>
      </c>
      <c r="D8" s="303" t="s">
        <v>2507</v>
      </c>
      <c r="E8" s="303" t="s">
        <v>2508</v>
      </c>
      <c r="F8" s="867">
        <v>45662.766724537039</v>
      </c>
    </row>
    <row r="9" spans="1:6">
      <c r="D9" s="303"/>
      <c r="E9" s="303"/>
      <c r="F9" s="867"/>
    </row>
    <row r="10" spans="1:6">
      <c r="D10" s="303"/>
      <c r="E10" s="303"/>
      <c r="F10" s="867"/>
    </row>
    <row r="11" spans="1:6">
      <c r="D11" s="303"/>
      <c r="E11" s="303"/>
      <c r="F11" s="867"/>
    </row>
    <row r="12" spans="1:6">
      <c r="D12" s="303"/>
      <c r="E12" s="303"/>
      <c r="F12" s="867"/>
    </row>
    <row r="13" spans="1:6">
      <c r="D13" s="303"/>
      <c r="E13" s="303"/>
      <c r="F13" s="867"/>
    </row>
    <row r="14" spans="1:6">
      <c r="D14" s="303"/>
      <c r="E14" s="303"/>
      <c r="F14" s="867"/>
    </row>
    <row r="15" spans="1:6">
      <c r="D15" s="303"/>
      <c r="E15" s="303"/>
      <c r="F15" s="867"/>
    </row>
    <row r="16" spans="1:6">
      <c r="D16" s="303"/>
      <c r="E16" s="303"/>
      <c r="F16" s="867"/>
    </row>
    <row r="17" spans="4:6">
      <c r="D17" s="303"/>
      <c r="E17" s="303"/>
      <c r="F17" s="867"/>
    </row>
    <row r="18" spans="4:6">
      <c r="D18" s="303"/>
      <c r="E18" s="303"/>
      <c r="F18" s="867"/>
    </row>
    <row r="19" spans="4:6">
      <c r="D19" s="303"/>
      <c r="E19" s="303"/>
      <c r="F19" s="867"/>
    </row>
    <row r="20" spans="4:6">
      <c r="D20" s="303"/>
      <c r="E20" s="303"/>
      <c r="F20" s="867"/>
    </row>
    <row r="21" spans="4:6">
      <c r="D21" s="303"/>
      <c r="E21" s="303"/>
      <c r="F21" s="867"/>
    </row>
    <row r="22" spans="4:6">
      <c r="D22" s="303"/>
      <c r="E22" s="303"/>
      <c r="F22" s="867"/>
    </row>
    <row r="23" spans="4:6">
      <c r="D23" s="303"/>
      <c r="E23" s="303"/>
      <c r="F23" s="867"/>
    </row>
    <row r="24" spans="4:6">
      <c r="D24" s="303"/>
      <c r="E24" s="303"/>
      <c r="F24" s="867"/>
    </row>
    <row r="25" spans="4:6">
      <c r="D25" s="303"/>
      <c r="E25" s="303"/>
      <c r="F25" s="867"/>
    </row>
    <row r="26" spans="4:6">
      <c r="D26" s="303"/>
      <c r="E26" s="303"/>
      <c r="F26" s="867"/>
    </row>
    <row r="27" spans="4:6">
      <c r="D27" s="303"/>
      <c r="E27" s="303"/>
      <c r="F27" s="867"/>
    </row>
    <row r="28" spans="4:6">
      <c r="D28" s="303"/>
      <c r="E28" s="303"/>
      <c r="F28" s="867"/>
    </row>
    <row r="29" spans="4:6">
      <c r="D29" s="303"/>
      <c r="E29" s="303"/>
      <c r="F29" s="867"/>
    </row>
    <row r="30" spans="4:6">
      <c r="D30" s="303"/>
      <c r="E30" s="303"/>
      <c r="F30" s="867"/>
    </row>
    <row r="31" spans="4:6">
      <c r="D31" s="303"/>
      <c r="E31" s="303"/>
      <c r="F31" s="867"/>
    </row>
    <row r="32" spans="4:6">
      <c r="D32" s="303"/>
      <c r="E32" s="303"/>
      <c r="F32" s="867"/>
    </row>
    <row r="33" spans="4:6">
      <c r="D33" s="303"/>
      <c r="E33" s="303"/>
      <c r="F33" s="867"/>
    </row>
    <row r="34" spans="4:6">
      <c r="D34" s="303"/>
      <c r="E34" s="303"/>
      <c r="F34" s="867"/>
    </row>
    <row r="35" spans="4:6">
      <c r="D35" s="303"/>
      <c r="E35" s="303"/>
      <c r="F35" s="867"/>
    </row>
    <row r="36" spans="4:6">
      <c r="D36" s="303"/>
      <c r="E36" s="303"/>
      <c r="F36" s="867"/>
    </row>
    <row r="37" spans="4:6">
      <c r="D37" s="303"/>
      <c r="E37" s="303"/>
      <c r="F37" s="867"/>
    </row>
    <row r="38" spans="4:6">
      <c r="D38" s="303"/>
      <c r="E38" s="303"/>
      <c r="F38" s="867"/>
    </row>
    <row r="39" spans="4:6">
      <c r="D39" s="303"/>
      <c r="E39" s="303"/>
      <c r="F39" s="867"/>
    </row>
    <row r="40" spans="4:6">
      <c r="D40" s="303"/>
      <c r="E40" s="303"/>
      <c r="F40" s="867"/>
    </row>
    <row r="41" spans="4:6">
      <c r="D41" s="303"/>
      <c r="E41" s="303"/>
      <c r="F41" s="867"/>
    </row>
    <row r="42" spans="4:6">
      <c r="D42" s="303"/>
      <c r="E42" s="303"/>
      <c r="F42" s="867"/>
    </row>
    <row r="43" spans="4:6">
      <c r="D43" s="303"/>
      <c r="E43" s="303"/>
      <c r="F43" s="867"/>
    </row>
    <row r="44" spans="4:6">
      <c r="D44" s="303"/>
      <c r="E44" s="303"/>
      <c r="F44" s="867"/>
    </row>
    <row r="45" spans="4:6">
      <c r="D45" s="303"/>
      <c r="E45" s="303"/>
      <c r="F45" s="867"/>
    </row>
    <row r="46" spans="4:6">
      <c r="D46" s="303"/>
      <c r="E46" s="303"/>
      <c r="F46" s="867"/>
    </row>
    <row r="47" spans="4:6">
      <c r="D47" s="303"/>
      <c r="E47" s="303"/>
      <c r="F47" s="867"/>
    </row>
    <row r="48" spans="4:6">
      <c r="D48" s="303"/>
      <c r="E48" s="303"/>
      <c r="F48" s="867"/>
    </row>
    <row r="49" spans="4:6">
      <c r="D49" s="303"/>
      <c r="E49" s="303"/>
      <c r="F49" s="867"/>
    </row>
    <row r="50" spans="4:6">
      <c r="D50" s="303"/>
      <c r="E50" s="303"/>
      <c r="F50" s="867"/>
    </row>
    <row r="51" spans="4:6">
      <c r="D51" s="303"/>
      <c r="E51" s="303"/>
      <c r="F51" s="867"/>
    </row>
    <row r="52" spans="4:6">
      <c r="D52" s="303"/>
      <c r="E52" s="303"/>
      <c r="F52" s="867"/>
    </row>
    <row r="53" spans="4:6">
      <c r="D53" s="303"/>
      <c r="E53" s="303"/>
      <c r="F53" s="867"/>
    </row>
    <row r="54" spans="4:6">
      <c r="D54" s="303"/>
      <c r="E54" s="303"/>
      <c r="F54" s="867"/>
    </row>
    <row r="55" spans="4:6">
      <c r="D55" s="303"/>
      <c r="E55" s="303"/>
      <c r="F55" s="867"/>
    </row>
    <row r="56" spans="4:6">
      <c r="D56" s="303"/>
      <c r="E56" s="303"/>
      <c r="F56" s="867"/>
    </row>
    <row r="57" spans="4:6">
      <c r="D57" s="303"/>
      <c r="E57" s="303"/>
      <c r="F57" s="867"/>
    </row>
    <row r="58" spans="4:6">
      <c r="D58" s="303"/>
      <c r="E58" s="303"/>
      <c r="F58" s="867"/>
    </row>
    <row r="59" spans="4:6">
      <c r="D59" s="303"/>
      <c r="E59" s="303"/>
      <c r="F59" s="867"/>
    </row>
    <row r="60" spans="4:6">
      <c r="D60" s="303"/>
      <c r="E60" s="303"/>
      <c r="F60" s="867"/>
    </row>
    <row r="61" spans="4:6">
      <c r="D61" s="303"/>
      <c r="E61" s="303"/>
      <c r="F61" s="867"/>
    </row>
    <row r="62" spans="4:6">
      <c r="D62" s="303"/>
      <c r="E62" s="303"/>
      <c r="F62" s="867"/>
    </row>
    <row r="63" spans="4:6">
      <c r="D63" s="303"/>
      <c r="E63" s="303"/>
      <c r="F63" s="867"/>
    </row>
    <row r="64" spans="4:6">
      <c r="D64" s="303"/>
      <c r="E64" s="303"/>
      <c r="F64" s="867"/>
    </row>
    <row r="65" spans="4:6">
      <c r="D65" s="303"/>
      <c r="E65" s="303"/>
      <c r="F65" s="867"/>
    </row>
    <row r="66" spans="4:6">
      <c r="D66" s="303"/>
      <c r="E66" s="303"/>
      <c r="F66" s="867"/>
    </row>
    <row r="67" spans="4:6">
      <c r="D67" s="303"/>
      <c r="E67" s="303"/>
      <c r="F67" s="867"/>
    </row>
    <row r="68" spans="4:6">
      <c r="D68" s="303"/>
      <c r="E68" s="303"/>
      <c r="F68" s="867"/>
    </row>
    <row r="69" spans="4:6">
      <c r="D69" s="303"/>
      <c r="E69" s="303"/>
      <c r="F69" s="867"/>
    </row>
    <row r="70" spans="4:6">
      <c r="D70" s="303"/>
      <c r="E70" s="303"/>
      <c r="F70" s="867"/>
    </row>
    <row r="71" spans="4:6">
      <c r="D71" s="303"/>
      <c r="E71" s="303"/>
      <c r="F71" s="867"/>
    </row>
    <row r="72" spans="4:6">
      <c r="D72" s="303"/>
      <c r="E72" s="303"/>
      <c r="F72" s="867"/>
    </row>
    <row r="73" spans="4:6">
      <c r="D73" s="303"/>
      <c r="E73" s="303"/>
      <c r="F73" s="867"/>
    </row>
    <row r="74" spans="4:6">
      <c r="D74" s="303"/>
      <c r="E74" s="303"/>
      <c r="F74" s="867"/>
    </row>
    <row r="75" spans="4:6">
      <c r="D75" s="303"/>
      <c r="E75" s="303"/>
      <c r="F75" s="867"/>
    </row>
    <row r="76" spans="4:6">
      <c r="D76" s="303"/>
      <c r="E76" s="303"/>
      <c r="F76" s="867"/>
    </row>
    <row r="77" spans="4:6">
      <c r="D77" s="303"/>
      <c r="E77" s="303"/>
      <c r="F77" s="867"/>
    </row>
    <row r="78" spans="4:6">
      <c r="D78" s="303"/>
      <c r="E78" s="303"/>
      <c r="F78" s="867"/>
    </row>
    <row r="79" spans="4:6">
      <c r="D79" s="303"/>
      <c r="E79" s="303"/>
      <c r="F79" s="867"/>
    </row>
    <row r="80" spans="4:6">
      <c r="D80" s="303"/>
      <c r="E80" s="303"/>
      <c r="F80" s="867"/>
    </row>
    <row r="81" spans="4:6">
      <c r="D81" s="303"/>
      <c r="E81" s="303"/>
      <c r="F81" s="867"/>
    </row>
    <row r="82" spans="4:6">
      <c r="D82" s="303"/>
      <c r="E82" s="303"/>
      <c r="F82" s="867"/>
    </row>
    <row r="83" spans="4:6">
      <c r="D83" s="303"/>
      <c r="E83" s="303"/>
      <c r="F83" s="867"/>
    </row>
    <row r="84" spans="4:6">
      <c r="D84" s="303"/>
      <c r="E84" s="303"/>
      <c r="F84" s="867"/>
    </row>
    <row r="85" spans="4:6">
      <c r="D85" s="303"/>
      <c r="E85" s="303"/>
      <c r="F85" s="867"/>
    </row>
    <row r="86" spans="4:6">
      <c r="D86" s="303"/>
      <c r="E86" s="303"/>
      <c r="F86" s="867"/>
    </row>
    <row r="87" spans="4:6">
      <c r="D87" s="303"/>
      <c r="E87" s="303"/>
      <c r="F87" s="867"/>
    </row>
    <row r="88" spans="4:6">
      <c r="D88" s="303"/>
      <c r="E88" s="303"/>
      <c r="F88" s="867"/>
    </row>
    <row r="89" spans="4:6">
      <c r="D89" s="303"/>
      <c r="E89" s="303"/>
      <c r="F89" s="867"/>
    </row>
    <row r="90" spans="4:6">
      <c r="D90" s="303"/>
      <c r="E90" s="303"/>
      <c r="F90" s="867"/>
    </row>
    <row r="91" spans="4:6">
      <c r="D91" s="303"/>
      <c r="E91" s="303"/>
      <c r="F91" s="867"/>
    </row>
    <row r="92" spans="4:6">
      <c r="D92" s="303"/>
      <c r="E92" s="303"/>
      <c r="F92" s="867"/>
    </row>
    <row r="93" spans="4:6">
      <c r="D93" s="303"/>
      <c r="E93" s="303"/>
      <c r="F93" s="867"/>
    </row>
    <row r="94" spans="4:6">
      <c r="D94" s="303"/>
      <c r="E94" s="303"/>
      <c r="F94" s="867"/>
    </row>
    <row r="95" spans="4:6">
      <c r="D95" s="303"/>
      <c r="E95" s="303"/>
      <c r="F95" s="867"/>
    </row>
    <row r="96" spans="4:6">
      <c r="D96" s="303"/>
      <c r="E96" s="303"/>
      <c r="F96" s="867"/>
    </row>
    <row r="97" spans="4:6">
      <c r="D97" s="303"/>
      <c r="E97" s="303"/>
      <c r="F97" s="867"/>
    </row>
    <row r="98" spans="4:6">
      <c r="D98" s="303"/>
      <c r="E98" s="303"/>
      <c r="F98" s="867"/>
    </row>
    <row r="99" spans="4:6">
      <c r="D99" s="303"/>
      <c r="E99" s="303"/>
      <c r="F99" s="867"/>
    </row>
    <row r="100" spans="4:6">
      <c r="D100" s="303"/>
      <c r="E100" s="303"/>
      <c r="F100" s="867"/>
    </row>
    <row r="101" spans="4:6">
      <c r="D101" s="303"/>
      <c r="E101" s="303"/>
      <c r="F101" s="867"/>
    </row>
    <row r="102" spans="4:6">
      <c r="D102" s="303"/>
      <c r="E102" s="303"/>
      <c r="F102" s="867"/>
    </row>
    <row r="103" spans="4:6">
      <c r="D103" s="303"/>
      <c r="E103" s="303"/>
      <c r="F103" s="867"/>
    </row>
    <row r="104" spans="4:6">
      <c r="D104" s="303"/>
      <c r="E104" s="303"/>
      <c r="F104" s="867"/>
    </row>
    <row r="105" spans="4:6">
      <c r="D105" s="303"/>
      <c r="E105" s="303"/>
      <c r="F105" s="867"/>
    </row>
    <row r="106" spans="4:6">
      <c r="D106" s="303"/>
      <c r="E106" s="303"/>
      <c r="F106" s="867"/>
    </row>
    <row r="107" spans="4:6">
      <c r="D107" s="303"/>
      <c r="E107" s="303"/>
      <c r="F107" s="867"/>
    </row>
    <row r="108" spans="4:6">
      <c r="D108" s="303"/>
      <c r="E108" s="303"/>
      <c r="F108" s="867"/>
    </row>
    <row r="109" spans="4:6">
      <c r="D109" s="303"/>
      <c r="E109" s="303"/>
      <c r="F109" s="867"/>
    </row>
    <row r="110" spans="4:6">
      <c r="D110" s="303"/>
      <c r="E110" s="303"/>
      <c r="F110" s="867"/>
    </row>
    <row r="111" spans="4:6">
      <c r="D111" s="303"/>
      <c r="E111" s="303"/>
      <c r="F111" s="867"/>
    </row>
    <row r="112" spans="4:6">
      <c r="D112" s="303"/>
      <c r="E112" s="303"/>
      <c r="F112" s="867"/>
    </row>
    <row r="113" spans="4:6">
      <c r="D113" s="303"/>
      <c r="E113" s="303"/>
      <c r="F113" s="867"/>
    </row>
    <row r="114" spans="4:6">
      <c r="D114" s="303"/>
      <c r="E114" s="303"/>
      <c r="F114" s="867"/>
    </row>
    <row r="115" spans="4:6">
      <c r="D115" s="303"/>
      <c r="E115" s="303"/>
      <c r="F115" s="867"/>
    </row>
    <row r="116" spans="4:6">
      <c r="D116" s="303"/>
      <c r="E116" s="303"/>
      <c r="F116" s="867"/>
    </row>
    <row r="117" spans="4:6">
      <c r="D117" s="303"/>
      <c r="E117" s="303"/>
      <c r="F117" s="867"/>
    </row>
    <row r="118" spans="4:6">
      <c r="D118" s="303"/>
      <c r="E118" s="303"/>
      <c r="F118" s="867"/>
    </row>
    <row r="119" spans="4:6">
      <c r="D119" s="303"/>
      <c r="E119" s="303"/>
      <c r="F119" s="867"/>
    </row>
    <row r="120" spans="4:6">
      <c r="D120" s="303"/>
      <c r="E120" s="303"/>
      <c r="F120" s="867"/>
    </row>
    <row r="121" spans="4:6">
      <c r="D121" s="303"/>
      <c r="E121" s="303"/>
      <c r="F121" s="867"/>
    </row>
    <row r="122" spans="4:6">
      <c r="D122" s="303"/>
      <c r="E122" s="303"/>
      <c r="F122" s="867"/>
    </row>
    <row r="123" spans="4:6">
      <c r="D123" s="303"/>
      <c r="E123" s="303"/>
      <c r="F123" s="867"/>
    </row>
    <row r="124" spans="4:6">
      <c r="D124" s="303"/>
      <c r="E124" s="303"/>
      <c r="F124" s="867"/>
    </row>
    <row r="125" spans="4:6">
      <c r="D125" s="303"/>
      <c r="E125" s="303"/>
      <c r="F125" s="867"/>
    </row>
    <row r="126" spans="4:6">
      <c r="D126" s="303"/>
      <c r="E126" s="303"/>
      <c r="F126" s="867"/>
    </row>
    <row r="127" spans="4:6">
      <c r="D127" s="303"/>
      <c r="E127" s="303"/>
      <c r="F127" s="867"/>
    </row>
    <row r="128" spans="4:6">
      <c r="D128" s="303"/>
      <c r="E128" s="303"/>
      <c r="F128" s="867"/>
    </row>
    <row r="129" spans="4:6">
      <c r="D129" s="303"/>
      <c r="E129" s="303"/>
      <c r="F129" s="867"/>
    </row>
    <row r="130" spans="4:6">
      <c r="D130" s="303"/>
      <c r="E130" s="303"/>
      <c r="F130" s="867"/>
    </row>
    <row r="131" spans="4:6">
      <c r="D131" s="303"/>
      <c r="E131" s="303"/>
      <c r="F131" s="867"/>
    </row>
    <row r="132" spans="4:6">
      <c r="D132" s="303"/>
      <c r="E132" s="303"/>
      <c r="F132" s="867"/>
    </row>
    <row r="133" spans="4:6">
      <c r="D133" s="303"/>
      <c r="E133" s="303"/>
      <c r="F133" s="867"/>
    </row>
    <row r="134" spans="4:6">
      <c r="D134" s="303"/>
      <c r="E134" s="303"/>
      <c r="F134" s="867"/>
    </row>
    <row r="135" spans="4:6">
      <c r="D135" s="303"/>
      <c r="E135" s="303"/>
      <c r="F135" s="867"/>
    </row>
    <row r="136" spans="4:6">
      <c r="D136" s="303"/>
      <c r="E136" s="303"/>
      <c r="F136" s="867"/>
    </row>
    <row r="137" spans="4:6">
      <c r="D137" s="303"/>
      <c r="E137" s="303"/>
      <c r="F137" s="867"/>
    </row>
    <row r="138" spans="4:6">
      <c r="D138" s="303"/>
      <c r="E138" s="303"/>
      <c r="F138" s="867"/>
    </row>
    <row r="139" spans="4:6">
      <c r="D139" s="303"/>
      <c r="E139" s="303"/>
      <c r="F139" s="867"/>
    </row>
    <row r="140" spans="4:6">
      <c r="D140" s="303"/>
      <c r="E140" s="303"/>
      <c r="F140" s="867"/>
    </row>
    <row r="141" spans="4:6">
      <c r="D141" s="303"/>
      <c r="E141" s="303"/>
      <c r="F141" s="867"/>
    </row>
    <row r="142" spans="4:6">
      <c r="D142" s="303"/>
      <c r="E142" s="303"/>
      <c r="F142" s="867"/>
    </row>
    <row r="143" spans="4:6">
      <c r="D143" s="303"/>
      <c r="E143" s="303"/>
      <c r="F143" s="867"/>
    </row>
    <row r="144" spans="4:6">
      <c r="D144" s="303"/>
      <c r="E144" s="303"/>
      <c r="F144" s="867"/>
    </row>
    <row r="145" spans="4:6">
      <c r="D145" s="303"/>
      <c r="E145" s="303"/>
      <c r="F145" s="867"/>
    </row>
    <row r="146" spans="4:6">
      <c r="D146" s="303"/>
      <c r="E146" s="303"/>
      <c r="F146" s="867"/>
    </row>
    <row r="147" spans="4:6">
      <c r="D147" s="303"/>
      <c r="E147" s="303"/>
      <c r="F147" s="867"/>
    </row>
    <row r="148" spans="4:6">
      <c r="D148" s="303"/>
      <c r="E148" s="303"/>
      <c r="F148" s="867"/>
    </row>
    <row r="149" spans="4:6">
      <c r="D149" s="303"/>
      <c r="E149" s="303"/>
      <c r="F149" s="867"/>
    </row>
    <row r="150" spans="4:6">
      <c r="D150" s="303"/>
      <c r="E150" s="303"/>
      <c r="F150" s="867"/>
    </row>
    <row r="151" spans="4:6">
      <c r="D151" s="303"/>
      <c r="E151" s="303"/>
      <c r="F151" s="867"/>
    </row>
    <row r="152" spans="4:6">
      <c r="D152" s="303"/>
      <c r="E152" s="303"/>
      <c r="F152" s="867"/>
    </row>
    <row r="153" spans="4:6">
      <c r="D153" s="303"/>
      <c r="E153" s="303"/>
      <c r="F153" s="867"/>
    </row>
    <row r="154" spans="4:6">
      <c r="D154" s="303"/>
      <c r="E154" s="303"/>
      <c r="F154" s="867"/>
    </row>
    <row r="155" spans="4:6">
      <c r="D155" s="303"/>
      <c r="E155" s="303"/>
      <c r="F155" s="867"/>
    </row>
  </sheetData>
  <sheetProtection algorithmName="SHA-512" hashValue="X4iFU114uPABCz6XTfrmH0em7SuNGsfJ5q0k4d83CSLI3CHr/S1D5/07xI1GtHldEFHtx5V+PZzxpeyLMJh3KQ==" saltValue="dyEe5AymUGJ1jl1rM1zpFg==" spinCount="100000" sheet="1" objects="1" scenarios="1"/>
  <pageMargins left="0.7" right="0.7" top="0.75" bottom="0.75" header="0.3" footer="0.3"/>
  <pageSetup orientation="portrait" horizont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BE73A-E2C7-44D8-B25C-171FF9537A82}">
  <sheetPr codeName="Sheet29"/>
  <dimension ref="A1:Z341"/>
  <sheetViews>
    <sheetView topLeftCell="A229" zoomScale="85" zoomScaleNormal="85" workbookViewId="0">
      <selection activeCell="H243" sqref="A243:H245"/>
    </sheetView>
  </sheetViews>
  <sheetFormatPr defaultColWidth="9.109375" defaultRowHeight="14.4"/>
  <cols>
    <col min="1" max="1" width="54.5546875" style="1044" customWidth="1"/>
    <col min="2" max="2" width="35.33203125" style="1037" customWidth="1"/>
    <col min="3" max="3" width="62.33203125" style="1037" bestFit="1" customWidth="1"/>
    <col min="4" max="4" width="80.5546875" style="1037" bestFit="1" customWidth="1"/>
    <col min="5" max="5" width="20.44140625" style="1037" customWidth="1"/>
    <col min="6" max="6" width="37.33203125" style="1037" customWidth="1"/>
    <col min="7" max="7" width="13" style="1037" customWidth="1"/>
    <col min="8" max="8" width="31.33203125" style="1037" customWidth="1"/>
    <col min="9" max="9" width="12.44140625" style="1037" customWidth="1"/>
    <col min="10" max="10" width="13.6640625" style="1037" customWidth="1"/>
    <col min="11" max="11" width="9.5546875" style="1037" customWidth="1"/>
    <col min="12" max="12" width="16.88671875" style="1037" bestFit="1" customWidth="1"/>
    <col min="13" max="13" width="9.5546875" style="1037" customWidth="1"/>
    <col min="14" max="14" width="20" style="1037" bestFit="1" customWidth="1"/>
    <col min="15" max="15" width="9.5546875" style="1037" customWidth="1"/>
    <col min="16" max="16" width="20" style="1037" bestFit="1" customWidth="1"/>
    <col min="17" max="17" width="9.5546875" style="1037" customWidth="1"/>
    <col min="18" max="18" width="11.88671875" style="1037" customWidth="1"/>
    <col min="19" max="19" width="9.5546875" style="1037" customWidth="1"/>
    <col min="20" max="20" width="11.88671875" style="1037" customWidth="1"/>
    <col min="21" max="21" width="9.5546875" style="1037" customWidth="1"/>
    <col min="22" max="22" width="11.88671875" style="1037" customWidth="1"/>
    <col min="23" max="23" width="9.5546875" style="1037" customWidth="1"/>
    <col min="24" max="24" width="12.88671875" style="1037" customWidth="1"/>
    <col min="25" max="25" width="10.5546875" style="1037" customWidth="1"/>
    <col min="26" max="26" width="102.109375" style="1037" bestFit="1" customWidth="1"/>
    <col min="27" max="16384" width="9.109375" style="1037"/>
  </cols>
  <sheetData>
    <row r="1" spans="1:26">
      <c r="A1" s="1039" t="s">
        <v>2509</v>
      </c>
      <c r="B1" s="1040" t="s">
        <v>2510</v>
      </c>
      <c r="C1" s="1040" t="s">
        <v>2511</v>
      </c>
      <c r="D1" s="1041" t="s">
        <v>2512</v>
      </c>
      <c r="E1" s="1042" t="s">
        <v>2513</v>
      </c>
      <c r="F1" s="1043" t="s">
        <v>2514</v>
      </c>
      <c r="G1" s="1042" t="s">
        <v>2515</v>
      </c>
      <c r="H1" s="1043" t="s">
        <v>2516</v>
      </c>
      <c r="I1" s="1042" t="s">
        <v>2517</v>
      </c>
      <c r="J1" s="1043" t="s">
        <v>2518</v>
      </c>
      <c r="K1" s="1042" t="s">
        <v>2519</v>
      </c>
      <c r="L1" s="1043" t="s">
        <v>2520</v>
      </c>
      <c r="M1" s="1042" t="s">
        <v>2521</v>
      </c>
      <c r="N1" s="1043" t="s">
        <v>2522</v>
      </c>
      <c r="O1" s="1042" t="s">
        <v>2523</v>
      </c>
      <c r="P1" s="1043" t="s">
        <v>2524</v>
      </c>
      <c r="Q1" s="1042" t="s">
        <v>2525</v>
      </c>
      <c r="R1" s="1043" t="s">
        <v>2526</v>
      </c>
      <c r="S1" s="1042" t="s">
        <v>2527</v>
      </c>
      <c r="T1" s="1043" t="s">
        <v>2528</v>
      </c>
      <c r="U1" s="1042" t="s">
        <v>2529</v>
      </c>
      <c r="V1" s="1043" t="s">
        <v>2530</v>
      </c>
      <c r="W1" s="1042" t="s">
        <v>2531</v>
      </c>
      <c r="X1" s="1043" t="s">
        <v>2532</v>
      </c>
      <c r="Y1" s="1042" t="s">
        <v>2533</v>
      </c>
      <c r="Z1" s="1042" t="s">
        <v>2534</v>
      </c>
    </row>
    <row r="2" spans="1:26">
      <c r="A2" s="1109" t="str">
        <f t="shared" ref="A2:A65" si="0">_xlfn.CONCAT(B2, " ; ", C2)</f>
        <v>NETWORK INFORMATION ; Table: Line Information, Row 1</v>
      </c>
      <c r="B2" t="s">
        <v>2535</v>
      </c>
      <c r="C2" t="s">
        <v>2536</v>
      </c>
      <c r="D2" s="303" t="s">
        <v>2537</v>
      </c>
      <c r="E2" s="965"/>
      <c r="F2" t="s">
        <v>2538</v>
      </c>
      <c r="H2"/>
      <c r="J2"/>
      <c r="L2"/>
      <c r="N2"/>
    </row>
    <row r="3" spans="1:26">
      <c r="A3" s="1109" t="str">
        <f t="shared" si="0"/>
        <v>NETWORK INFORMATION ; Table: Line Information, Row 1</v>
      </c>
      <c r="B3" t="s">
        <v>2535</v>
      </c>
      <c r="C3" t="s">
        <v>2536</v>
      </c>
      <c r="D3" s="303" t="s">
        <v>2539</v>
      </c>
      <c r="E3" s="965"/>
      <c r="F3" t="s">
        <v>2540</v>
      </c>
      <c r="H3"/>
      <c r="J3"/>
      <c r="L3"/>
      <c r="N3"/>
    </row>
    <row r="4" spans="1:26">
      <c r="A4" s="1109" t="str">
        <f t="shared" si="0"/>
        <v>NETWORK INFORMATION ; Table: Remote Buses, Row 1</v>
      </c>
      <c r="B4" t="s">
        <v>2535</v>
      </c>
      <c r="C4" t="s">
        <v>2541</v>
      </c>
      <c r="D4" s="303" t="s">
        <v>2542</v>
      </c>
      <c r="E4" s="965"/>
      <c r="F4" t="s">
        <v>2543</v>
      </c>
      <c r="H4"/>
      <c r="J4"/>
      <c r="L4"/>
      <c r="N4"/>
    </row>
    <row r="5" spans="1:26">
      <c r="A5" s="1109" t="str">
        <f t="shared" si="0"/>
        <v>NETWORK INFORMATION ; Table: Line Information, Row 1</v>
      </c>
      <c r="B5" t="s">
        <v>2535</v>
      </c>
      <c r="C5" t="s">
        <v>2536</v>
      </c>
      <c r="D5" s="303" t="s">
        <v>2544</v>
      </c>
      <c r="E5" s="965"/>
      <c r="F5" t="s">
        <v>2545</v>
      </c>
      <c r="H5"/>
      <c r="J5"/>
      <c r="L5"/>
      <c r="N5"/>
    </row>
    <row r="6" spans="1:26">
      <c r="A6" s="1109" t="str">
        <f t="shared" si="0"/>
        <v>NETWORK INFORMATION ; Count of Second Lines:</v>
      </c>
      <c r="B6" t="s">
        <v>2535</v>
      </c>
      <c r="C6" t="s">
        <v>2546</v>
      </c>
      <c r="D6" s="303" t="s">
        <v>2547</v>
      </c>
      <c r="E6" s="965"/>
      <c r="F6" t="s">
        <v>2548</v>
      </c>
      <c r="H6"/>
      <c r="J6"/>
      <c r="L6"/>
      <c r="N6"/>
    </row>
    <row r="7" spans="1:26">
      <c r="A7" s="1109" t="str">
        <f t="shared" si="0"/>
        <v>NETWORK INFORMATION ; Count of Taps:</v>
      </c>
      <c r="B7" t="s">
        <v>2535</v>
      </c>
      <c r="C7" t="s">
        <v>2549</v>
      </c>
      <c r="D7" s="303" t="s">
        <v>2550</v>
      </c>
      <c r="E7" s="965"/>
      <c r="F7" t="s">
        <v>2548</v>
      </c>
      <c r="H7"/>
      <c r="J7"/>
      <c r="L7"/>
      <c r="N7"/>
    </row>
    <row r="8" spans="1:26">
      <c r="A8" s="1109" t="str">
        <f t="shared" si="0"/>
        <v>NETWORK INFORMATION ; Count of Autotransformers:</v>
      </c>
      <c r="B8" t="s">
        <v>2535</v>
      </c>
      <c r="C8" t="s">
        <v>2551</v>
      </c>
      <c r="D8" s="303" t="s">
        <v>2552</v>
      </c>
      <c r="E8" s="965"/>
      <c r="F8" t="s">
        <v>2548</v>
      </c>
      <c r="H8"/>
      <c r="J8"/>
      <c r="L8"/>
      <c r="N8"/>
    </row>
    <row r="9" spans="1:26">
      <c r="A9" s="1109" t="str">
        <f t="shared" si="0"/>
        <v>NETWORK INFORMATION ; Count of Power Transformers:</v>
      </c>
      <c r="B9" t="s">
        <v>2535</v>
      </c>
      <c r="C9" t="s">
        <v>2553</v>
      </c>
      <c r="D9" s="303" t="s">
        <v>2554</v>
      </c>
      <c r="E9" s="965"/>
      <c r="F9" t="s">
        <v>2548</v>
      </c>
      <c r="H9"/>
      <c r="J9"/>
      <c r="L9"/>
      <c r="N9"/>
    </row>
    <row r="10" spans="1:26">
      <c r="A10" s="1109" t="str">
        <f t="shared" si="0"/>
        <v>NETWORK INFORMATION ; Table: Path to Remote 1, Row 1</v>
      </c>
      <c r="B10" t="s">
        <v>2535</v>
      </c>
      <c r="C10" t="s">
        <v>2555</v>
      </c>
      <c r="D10" t="s">
        <v>2556</v>
      </c>
      <c r="E10" s="964"/>
      <c r="F10" t="s">
        <v>2557</v>
      </c>
      <c r="H10" t="s">
        <v>2558</v>
      </c>
      <c r="J10" t="s">
        <v>2559</v>
      </c>
      <c r="L10" t="s">
        <v>2560</v>
      </c>
      <c r="N10" t="s">
        <v>2561</v>
      </c>
    </row>
    <row r="11" spans="1:26">
      <c r="A11" s="1109" t="str">
        <f t="shared" si="0"/>
        <v>NETWORK INFORMATION ; Table: Path to Remote 1, Row 2</v>
      </c>
      <c r="B11" t="s">
        <v>2535</v>
      </c>
      <c r="C11" t="s">
        <v>2562</v>
      </c>
      <c r="D11" t="s">
        <v>2563</v>
      </c>
      <c r="E11" s="964"/>
      <c r="F11" t="s">
        <v>2557</v>
      </c>
      <c r="H11" t="s">
        <v>2558</v>
      </c>
      <c r="J11" t="s">
        <v>2559</v>
      </c>
      <c r="L11" t="s">
        <v>2560</v>
      </c>
      <c r="N11" t="s">
        <v>2561</v>
      </c>
    </row>
    <row r="12" spans="1:26">
      <c r="A12" s="1109" t="str">
        <f t="shared" si="0"/>
        <v>NETWORK INFORMATION ; Table: Path to Remote 1, Row 3</v>
      </c>
      <c r="B12" t="s">
        <v>2535</v>
      </c>
      <c r="C12" t="s">
        <v>2564</v>
      </c>
      <c r="D12" t="s">
        <v>2565</v>
      </c>
      <c r="E12" s="964"/>
      <c r="F12" t="s">
        <v>2557</v>
      </c>
      <c r="H12" t="s">
        <v>2558</v>
      </c>
      <c r="J12" t="s">
        <v>2559</v>
      </c>
      <c r="L12" t="s">
        <v>2560</v>
      </c>
      <c r="N12" t="s">
        <v>2561</v>
      </c>
    </row>
    <row r="13" spans="1:26">
      <c r="A13" s="1109" t="str">
        <f t="shared" si="0"/>
        <v>NETWORK INFORMATION ; Table: Path to Remote 1, Row 4</v>
      </c>
      <c r="B13" t="s">
        <v>2535</v>
      </c>
      <c r="C13" t="s">
        <v>2566</v>
      </c>
      <c r="D13" t="s">
        <v>2567</v>
      </c>
      <c r="E13" s="964"/>
      <c r="F13" t="s">
        <v>2557</v>
      </c>
      <c r="H13" t="s">
        <v>2558</v>
      </c>
      <c r="J13" t="s">
        <v>2559</v>
      </c>
      <c r="L13" t="s">
        <v>2560</v>
      </c>
      <c r="N13" t="s">
        <v>2561</v>
      </c>
    </row>
    <row r="14" spans="1:26">
      <c r="A14" s="1109" t="str">
        <f t="shared" si="0"/>
        <v>NETWORK INFORMATION ; Table: Path to Remote 1, Row 5</v>
      </c>
      <c r="B14" t="s">
        <v>2535</v>
      </c>
      <c r="C14" t="s">
        <v>2568</v>
      </c>
      <c r="D14" t="s">
        <v>2569</v>
      </c>
      <c r="E14" s="964"/>
      <c r="F14" t="s">
        <v>2557</v>
      </c>
      <c r="H14" t="s">
        <v>2558</v>
      </c>
      <c r="J14" t="s">
        <v>2559</v>
      </c>
      <c r="L14" t="s">
        <v>2560</v>
      </c>
      <c r="N14" t="s">
        <v>2561</v>
      </c>
    </row>
    <row r="15" spans="1:26">
      <c r="A15" s="1109" t="str">
        <f t="shared" si="0"/>
        <v>NETWORK INFORMATION ; Table: Total Pos. Seq. Impedance, Row 1</v>
      </c>
      <c r="B15" t="s">
        <v>2535</v>
      </c>
      <c r="C15" t="s">
        <v>2570</v>
      </c>
      <c r="D15" t="s">
        <v>2571</v>
      </c>
      <c r="E15" s="964"/>
      <c r="F15" t="s">
        <v>2572</v>
      </c>
      <c r="H15" t="s">
        <v>2573</v>
      </c>
      <c r="J15"/>
      <c r="L15"/>
      <c r="N15"/>
    </row>
    <row r="16" spans="1:26">
      <c r="A16" s="1109" t="str">
        <f t="shared" si="0"/>
        <v>NETWORK INFORMATION ; Table: Remote Second Line 1 Path, Row 1</v>
      </c>
      <c r="B16" t="s">
        <v>2535</v>
      </c>
      <c r="C16" t="s">
        <v>2574</v>
      </c>
      <c r="D16" t="s">
        <v>2575</v>
      </c>
      <c r="E16" s="964"/>
      <c r="F16" t="s">
        <v>2557</v>
      </c>
      <c r="H16" t="s">
        <v>2558</v>
      </c>
      <c r="J16" t="s">
        <v>2559</v>
      </c>
      <c r="L16" t="s">
        <v>2560</v>
      </c>
      <c r="N16" t="s">
        <v>2561</v>
      </c>
    </row>
    <row r="17" spans="1:14">
      <c r="A17" s="1109" t="str">
        <f t="shared" si="0"/>
        <v>NETWORK INFORMATION ; Table: Remote Second Line 1 Path, Row 2</v>
      </c>
      <c r="B17" t="s">
        <v>2535</v>
      </c>
      <c r="C17" t="s">
        <v>2576</v>
      </c>
      <c r="D17" t="s">
        <v>2577</v>
      </c>
      <c r="E17" s="964"/>
      <c r="F17" t="s">
        <v>2557</v>
      </c>
      <c r="H17" t="s">
        <v>2558</v>
      </c>
      <c r="J17" t="s">
        <v>2559</v>
      </c>
      <c r="L17" t="s">
        <v>2560</v>
      </c>
      <c r="N17" t="s">
        <v>2561</v>
      </c>
    </row>
    <row r="18" spans="1:14">
      <c r="A18" s="1109" t="str">
        <f t="shared" si="0"/>
        <v>NETWORK INFORMATION ; Table: Remote Second Line 1 Path, Row 3</v>
      </c>
      <c r="B18" t="s">
        <v>2535</v>
      </c>
      <c r="C18" t="s">
        <v>2578</v>
      </c>
      <c r="D18" t="s">
        <v>2579</v>
      </c>
      <c r="E18" s="964"/>
      <c r="F18" t="s">
        <v>2557</v>
      </c>
      <c r="H18" t="s">
        <v>2558</v>
      </c>
      <c r="J18" t="s">
        <v>2559</v>
      </c>
      <c r="L18" t="s">
        <v>2560</v>
      </c>
      <c r="N18" t="s">
        <v>2561</v>
      </c>
    </row>
    <row r="19" spans="1:14">
      <c r="A19" s="1109" t="str">
        <f t="shared" si="0"/>
        <v>NETWORK INFORMATION ; Table: Remote Second Line 1 Path, Row 4</v>
      </c>
      <c r="B19" t="s">
        <v>2535</v>
      </c>
      <c r="C19" t="s">
        <v>2580</v>
      </c>
      <c r="D19" t="s">
        <v>2581</v>
      </c>
      <c r="E19" s="964"/>
      <c r="F19" t="s">
        <v>2557</v>
      </c>
      <c r="H19" t="s">
        <v>2558</v>
      </c>
      <c r="J19" t="s">
        <v>2559</v>
      </c>
      <c r="L19" t="s">
        <v>2560</v>
      </c>
      <c r="N19" t="s">
        <v>2561</v>
      </c>
    </row>
    <row r="20" spans="1:14">
      <c r="A20" s="1109" t="str">
        <f t="shared" si="0"/>
        <v>NETWORK INFORMATION ; Table: Remote Second Line 1 Path, Row 5</v>
      </c>
      <c r="B20" t="s">
        <v>2535</v>
      </c>
      <c r="C20" t="s">
        <v>2582</v>
      </c>
      <c r="D20" t="s">
        <v>2583</v>
      </c>
      <c r="E20" s="964"/>
      <c r="F20" t="s">
        <v>2557</v>
      </c>
      <c r="H20" t="s">
        <v>2558</v>
      </c>
      <c r="J20" t="s">
        <v>2559</v>
      </c>
      <c r="L20" t="s">
        <v>2560</v>
      </c>
      <c r="N20" t="s">
        <v>2561</v>
      </c>
    </row>
    <row r="21" spans="1:14">
      <c r="A21" s="1109" t="str">
        <f t="shared" si="0"/>
        <v>NETWORK INFORMATION ; Table: Remote Second Lines, Row 1</v>
      </c>
      <c r="B21" t="s">
        <v>2535</v>
      </c>
      <c r="C21" t="s">
        <v>2584</v>
      </c>
      <c r="D21" t="s">
        <v>2585</v>
      </c>
      <c r="E21" s="964"/>
      <c r="F21" t="s">
        <v>2586</v>
      </c>
      <c r="H21"/>
      <c r="J21"/>
      <c r="L21"/>
      <c r="N21"/>
    </row>
    <row r="22" spans="1:14">
      <c r="A22" s="1109" t="str">
        <f t="shared" si="0"/>
        <v>NETWORK INFORMATION ; Table: Remote Second Line 2 Path, Row 1</v>
      </c>
      <c r="B22" t="s">
        <v>2535</v>
      </c>
      <c r="C22" t="s">
        <v>2587</v>
      </c>
      <c r="D22" t="s">
        <v>2588</v>
      </c>
      <c r="E22" s="964"/>
      <c r="F22" t="s">
        <v>2557</v>
      </c>
      <c r="H22" t="s">
        <v>2558</v>
      </c>
      <c r="J22" t="s">
        <v>2559</v>
      </c>
      <c r="L22" t="s">
        <v>2560</v>
      </c>
      <c r="N22" t="s">
        <v>2561</v>
      </c>
    </row>
    <row r="23" spans="1:14">
      <c r="A23" s="1109" t="str">
        <f t="shared" si="0"/>
        <v>NETWORK INFORMATION ; Table: Remote Second Line 2 Path, Row 2</v>
      </c>
      <c r="B23" t="s">
        <v>2535</v>
      </c>
      <c r="C23" t="s">
        <v>2589</v>
      </c>
      <c r="D23" t="s">
        <v>2590</v>
      </c>
      <c r="E23" s="964"/>
      <c r="F23" t="s">
        <v>2557</v>
      </c>
      <c r="H23" t="s">
        <v>2558</v>
      </c>
      <c r="J23" t="s">
        <v>2559</v>
      </c>
      <c r="L23" t="s">
        <v>2560</v>
      </c>
      <c r="N23" t="s">
        <v>2561</v>
      </c>
    </row>
    <row r="24" spans="1:14">
      <c r="A24" s="1109" t="str">
        <f t="shared" si="0"/>
        <v>NETWORK INFORMATION ; Table: Remote Second Line 2 Path, Row 3</v>
      </c>
      <c r="B24" t="s">
        <v>2535</v>
      </c>
      <c r="C24" t="s">
        <v>2591</v>
      </c>
      <c r="D24" t="s">
        <v>2592</v>
      </c>
      <c r="E24" s="964"/>
      <c r="F24" t="s">
        <v>2557</v>
      </c>
      <c r="H24" t="s">
        <v>2558</v>
      </c>
      <c r="J24" t="s">
        <v>2559</v>
      </c>
      <c r="L24" t="s">
        <v>2560</v>
      </c>
      <c r="N24" t="s">
        <v>2561</v>
      </c>
    </row>
    <row r="25" spans="1:14">
      <c r="A25" s="1109" t="str">
        <f t="shared" si="0"/>
        <v>NETWORK INFORMATION ; Table: Remote Second Line 2 Path, Row 4</v>
      </c>
      <c r="B25" t="s">
        <v>2535</v>
      </c>
      <c r="C25" t="s">
        <v>2593</v>
      </c>
      <c r="D25" t="s">
        <v>2594</v>
      </c>
      <c r="E25" s="964"/>
      <c r="F25" t="s">
        <v>2557</v>
      </c>
      <c r="H25" t="s">
        <v>2558</v>
      </c>
      <c r="J25" t="s">
        <v>2559</v>
      </c>
      <c r="L25" t="s">
        <v>2560</v>
      </c>
      <c r="N25" t="s">
        <v>2561</v>
      </c>
    </row>
    <row r="26" spans="1:14">
      <c r="A26" s="1109" t="str">
        <f t="shared" si="0"/>
        <v>NETWORK INFORMATION ; Table: Remote Second Line 2 Path, Row 5</v>
      </c>
      <c r="B26" t="s">
        <v>2535</v>
      </c>
      <c r="C26" t="s">
        <v>2595</v>
      </c>
      <c r="D26" t="s">
        <v>2596</v>
      </c>
      <c r="E26" s="964"/>
      <c r="F26" t="s">
        <v>2557</v>
      </c>
      <c r="H26" t="s">
        <v>2558</v>
      </c>
      <c r="J26" t="s">
        <v>2559</v>
      </c>
      <c r="L26" t="s">
        <v>2560</v>
      </c>
      <c r="N26" t="s">
        <v>2561</v>
      </c>
    </row>
    <row r="27" spans="1:14">
      <c r="A27" s="1109" t="str">
        <f t="shared" si="0"/>
        <v>NETWORK INFORMATION ; Table: Remote Second Lines, Row 2</v>
      </c>
      <c r="B27" t="s">
        <v>2535</v>
      </c>
      <c r="C27" t="s">
        <v>2597</v>
      </c>
      <c r="D27" t="s">
        <v>2598</v>
      </c>
      <c r="E27" s="964"/>
      <c r="F27" t="s">
        <v>2586</v>
      </c>
      <c r="H27"/>
      <c r="J27"/>
      <c r="L27"/>
      <c r="N27"/>
    </row>
    <row r="28" spans="1:14">
      <c r="A28" s="1109" t="str">
        <f t="shared" si="0"/>
        <v>NETWORK INFORMATION ; Table: Remote Second Line 3 Path, Row 1</v>
      </c>
      <c r="B28" t="s">
        <v>2535</v>
      </c>
      <c r="C28" t="s">
        <v>2599</v>
      </c>
      <c r="D28" t="s">
        <v>2600</v>
      </c>
      <c r="E28" s="1038"/>
      <c r="F28" t="s">
        <v>2557</v>
      </c>
      <c r="H28" t="s">
        <v>2558</v>
      </c>
      <c r="J28" t="s">
        <v>2559</v>
      </c>
      <c r="L28" t="s">
        <v>2560</v>
      </c>
      <c r="N28" t="s">
        <v>2561</v>
      </c>
    </row>
    <row r="29" spans="1:14">
      <c r="A29" s="1109" t="str">
        <f t="shared" si="0"/>
        <v>NETWORK INFORMATION ; Table: Remote Second Line 3 Path, Row 2</v>
      </c>
      <c r="B29" t="s">
        <v>2535</v>
      </c>
      <c r="C29" t="s">
        <v>2601</v>
      </c>
      <c r="D29" t="s">
        <v>2602</v>
      </c>
      <c r="E29" s="1038"/>
      <c r="F29" t="s">
        <v>2557</v>
      </c>
      <c r="H29" t="s">
        <v>2558</v>
      </c>
      <c r="J29" t="s">
        <v>2559</v>
      </c>
      <c r="L29" t="s">
        <v>2560</v>
      </c>
      <c r="N29" t="s">
        <v>2561</v>
      </c>
    </row>
    <row r="30" spans="1:14">
      <c r="A30" s="1109" t="str">
        <f t="shared" si="0"/>
        <v>NETWORK INFORMATION ; Table: Remote Second Line 3 Path, Row 3</v>
      </c>
      <c r="B30" t="s">
        <v>2535</v>
      </c>
      <c r="C30" t="s">
        <v>2603</v>
      </c>
      <c r="D30" t="s">
        <v>2604</v>
      </c>
      <c r="E30" s="1038"/>
      <c r="F30" t="s">
        <v>2557</v>
      </c>
      <c r="H30" t="s">
        <v>2558</v>
      </c>
      <c r="J30" t="s">
        <v>2559</v>
      </c>
      <c r="L30" t="s">
        <v>2560</v>
      </c>
      <c r="N30" t="s">
        <v>2561</v>
      </c>
    </row>
    <row r="31" spans="1:14">
      <c r="A31" s="1109" t="str">
        <f t="shared" si="0"/>
        <v>NETWORK INFORMATION ; Table: Remote Second Line 3 Path, Row 4</v>
      </c>
      <c r="B31" t="s">
        <v>2535</v>
      </c>
      <c r="C31" t="s">
        <v>2605</v>
      </c>
      <c r="D31" t="s">
        <v>2606</v>
      </c>
      <c r="E31" s="1038"/>
      <c r="F31" t="s">
        <v>2557</v>
      </c>
      <c r="H31" t="s">
        <v>2558</v>
      </c>
      <c r="J31" t="s">
        <v>2559</v>
      </c>
      <c r="L31" t="s">
        <v>2560</v>
      </c>
      <c r="N31" t="s">
        <v>2561</v>
      </c>
    </row>
    <row r="32" spans="1:14">
      <c r="A32" s="1109" t="str">
        <f t="shared" si="0"/>
        <v>NETWORK INFORMATION ; Table: Remote Second Line 3 Path, Row 5</v>
      </c>
      <c r="B32" t="s">
        <v>2535</v>
      </c>
      <c r="C32" t="s">
        <v>2607</v>
      </c>
      <c r="D32" t="s">
        <v>2608</v>
      </c>
      <c r="E32" s="1038"/>
      <c r="F32" t="s">
        <v>2557</v>
      </c>
      <c r="H32" t="s">
        <v>2558</v>
      </c>
      <c r="J32" t="s">
        <v>2559</v>
      </c>
      <c r="L32" t="s">
        <v>2560</v>
      </c>
      <c r="N32" t="s">
        <v>2561</v>
      </c>
    </row>
    <row r="33" spans="1:14">
      <c r="A33" s="1109" t="str">
        <f t="shared" si="0"/>
        <v>NETWORK INFORMATION ; Table: Remote Second Lines, Row 3</v>
      </c>
      <c r="B33" t="s">
        <v>2535</v>
      </c>
      <c r="C33" t="s">
        <v>2609</v>
      </c>
      <c r="D33" t="s">
        <v>2610</v>
      </c>
      <c r="E33" s="1038"/>
      <c r="F33" t="s">
        <v>2586</v>
      </c>
      <c r="H33"/>
      <c r="J33"/>
      <c r="L33"/>
      <c r="N33"/>
    </row>
    <row r="34" spans="1:14">
      <c r="A34" s="1109" t="str">
        <f t="shared" si="0"/>
        <v>NETWORK INFORMATION ; Table: Remote Second Line 4 Path, Row 1</v>
      </c>
      <c r="B34" t="s">
        <v>2535</v>
      </c>
      <c r="C34" t="s">
        <v>2611</v>
      </c>
      <c r="D34" t="s">
        <v>2612</v>
      </c>
      <c r="E34" s="1038"/>
      <c r="F34" t="s">
        <v>2557</v>
      </c>
      <c r="H34" t="s">
        <v>2558</v>
      </c>
      <c r="J34" t="s">
        <v>2559</v>
      </c>
      <c r="L34" t="s">
        <v>2560</v>
      </c>
      <c r="N34" t="s">
        <v>2561</v>
      </c>
    </row>
    <row r="35" spans="1:14">
      <c r="A35" s="1109" t="str">
        <f t="shared" si="0"/>
        <v>NETWORK INFORMATION ; Table: Remote Second Line 4 Path, Row 2</v>
      </c>
      <c r="B35" t="s">
        <v>2535</v>
      </c>
      <c r="C35" t="s">
        <v>2613</v>
      </c>
      <c r="D35" t="s">
        <v>2614</v>
      </c>
      <c r="E35" s="1038"/>
      <c r="F35" t="s">
        <v>2557</v>
      </c>
      <c r="H35" t="s">
        <v>2558</v>
      </c>
      <c r="J35" t="s">
        <v>2559</v>
      </c>
      <c r="L35" t="s">
        <v>2560</v>
      </c>
      <c r="N35" t="s">
        <v>2561</v>
      </c>
    </row>
    <row r="36" spans="1:14">
      <c r="A36" s="1109" t="str">
        <f t="shared" si="0"/>
        <v>NETWORK INFORMATION ; Table: Remote Second Line 4 Path, Row 3</v>
      </c>
      <c r="B36" t="s">
        <v>2535</v>
      </c>
      <c r="C36" t="s">
        <v>2615</v>
      </c>
      <c r="D36" t="s">
        <v>2616</v>
      </c>
      <c r="F36" t="s">
        <v>2557</v>
      </c>
      <c r="H36" t="s">
        <v>2558</v>
      </c>
      <c r="J36" t="s">
        <v>2559</v>
      </c>
      <c r="L36" t="s">
        <v>2560</v>
      </c>
      <c r="N36" t="s">
        <v>2561</v>
      </c>
    </row>
    <row r="37" spans="1:14">
      <c r="A37" s="1109" t="str">
        <f t="shared" si="0"/>
        <v>NETWORK INFORMATION ; Table: Remote Second Line 4 Path, Row 4</v>
      </c>
      <c r="B37" t="s">
        <v>2535</v>
      </c>
      <c r="C37" t="s">
        <v>2617</v>
      </c>
      <c r="D37" t="s">
        <v>2618</v>
      </c>
      <c r="F37" t="s">
        <v>2557</v>
      </c>
      <c r="H37" t="s">
        <v>2558</v>
      </c>
      <c r="J37" t="s">
        <v>2559</v>
      </c>
      <c r="L37" t="s">
        <v>2560</v>
      </c>
      <c r="N37" t="s">
        <v>2561</v>
      </c>
    </row>
    <row r="38" spans="1:14">
      <c r="A38" s="1109" t="str">
        <f t="shared" si="0"/>
        <v>NETWORK INFORMATION ; Table: Remote Second Line 4 Path, Row 5</v>
      </c>
      <c r="B38" t="s">
        <v>2535</v>
      </c>
      <c r="C38" t="s">
        <v>2619</v>
      </c>
      <c r="D38" t="s">
        <v>2620</v>
      </c>
      <c r="F38" t="s">
        <v>2557</v>
      </c>
      <c r="H38" t="s">
        <v>2558</v>
      </c>
      <c r="J38" t="s">
        <v>2559</v>
      </c>
      <c r="L38" t="s">
        <v>2560</v>
      </c>
      <c r="N38" t="s">
        <v>2561</v>
      </c>
    </row>
    <row r="39" spans="1:14">
      <c r="A39" s="1109" t="str">
        <f t="shared" si="0"/>
        <v>NETWORK INFORMATION ; Table: Remote Second Lines, Row 4</v>
      </c>
      <c r="B39" t="s">
        <v>2535</v>
      </c>
      <c r="C39" t="s">
        <v>2621</v>
      </c>
      <c r="D39" t="s">
        <v>2622</v>
      </c>
      <c r="E39" s="1038"/>
      <c r="F39" t="s">
        <v>2586</v>
      </c>
      <c r="H39"/>
      <c r="J39"/>
      <c r="L39"/>
      <c r="N39"/>
    </row>
    <row r="40" spans="1:14">
      <c r="A40" s="1109" t="str">
        <f t="shared" si="0"/>
        <v>NETWORK INFORMATION ; Table: Remote Second Line 5 Path, Row 1</v>
      </c>
      <c r="B40" t="s">
        <v>2535</v>
      </c>
      <c r="C40" t="s">
        <v>2623</v>
      </c>
      <c r="D40" t="s">
        <v>2624</v>
      </c>
      <c r="F40" t="s">
        <v>2557</v>
      </c>
      <c r="H40" t="s">
        <v>2558</v>
      </c>
      <c r="J40" t="s">
        <v>2559</v>
      </c>
      <c r="L40" t="s">
        <v>2560</v>
      </c>
      <c r="N40" t="s">
        <v>2561</v>
      </c>
    </row>
    <row r="41" spans="1:14">
      <c r="A41" s="1109" t="str">
        <f t="shared" si="0"/>
        <v>NETWORK INFORMATION ; Table: Remote Second Line 5 Path, Row 2</v>
      </c>
      <c r="B41" t="s">
        <v>2535</v>
      </c>
      <c r="C41" t="s">
        <v>2625</v>
      </c>
      <c r="D41" t="s">
        <v>2626</v>
      </c>
      <c r="F41" t="s">
        <v>2557</v>
      </c>
      <c r="H41" t="s">
        <v>2558</v>
      </c>
      <c r="J41" t="s">
        <v>2559</v>
      </c>
      <c r="L41" t="s">
        <v>2560</v>
      </c>
      <c r="N41" t="s">
        <v>2561</v>
      </c>
    </row>
    <row r="42" spans="1:14">
      <c r="A42" s="1109" t="str">
        <f t="shared" si="0"/>
        <v>NETWORK INFORMATION ; Table: Remote Second Line 5 Path, Row 3</v>
      </c>
      <c r="B42" t="s">
        <v>2535</v>
      </c>
      <c r="C42" t="s">
        <v>2627</v>
      </c>
      <c r="D42" t="s">
        <v>2628</v>
      </c>
      <c r="F42" t="s">
        <v>2557</v>
      </c>
      <c r="H42" t="s">
        <v>2558</v>
      </c>
      <c r="J42" t="s">
        <v>2559</v>
      </c>
      <c r="L42" t="s">
        <v>2560</v>
      </c>
      <c r="N42" t="s">
        <v>2561</v>
      </c>
    </row>
    <row r="43" spans="1:14">
      <c r="A43" s="1109" t="str">
        <f t="shared" si="0"/>
        <v>NETWORK INFORMATION ; Table: Remote Second Line 5 Path, Row 4</v>
      </c>
      <c r="B43" t="s">
        <v>2535</v>
      </c>
      <c r="C43" t="s">
        <v>2629</v>
      </c>
      <c r="D43" t="s">
        <v>2630</v>
      </c>
      <c r="F43" t="s">
        <v>2557</v>
      </c>
      <c r="H43" t="s">
        <v>2558</v>
      </c>
      <c r="J43" t="s">
        <v>2559</v>
      </c>
      <c r="L43" t="s">
        <v>2560</v>
      </c>
      <c r="N43" t="s">
        <v>2561</v>
      </c>
    </row>
    <row r="44" spans="1:14">
      <c r="A44" s="1109" t="str">
        <f t="shared" si="0"/>
        <v>NETWORK INFORMATION ; Table: Remote Second Line 5 Path, Row 5</v>
      </c>
      <c r="B44" t="s">
        <v>2535</v>
      </c>
      <c r="C44" t="s">
        <v>2631</v>
      </c>
      <c r="D44" t="s">
        <v>2632</v>
      </c>
      <c r="F44" t="s">
        <v>2557</v>
      </c>
      <c r="H44" t="s">
        <v>2558</v>
      </c>
      <c r="J44" t="s">
        <v>2559</v>
      </c>
      <c r="L44" t="s">
        <v>2560</v>
      </c>
      <c r="N44" t="s">
        <v>2561</v>
      </c>
    </row>
    <row r="45" spans="1:14">
      <c r="A45" s="1109" t="str">
        <f t="shared" si="0"/>
        <v>NETWORK INFORMATION ; Table: Remote Second Lines, Row 5</v>
      </c>
      <c r="B45" t="s">
        <v>2535</v>
      </c>
      <c r="C45" t="s">
        <v>2633</v>
      </c>
      <c r="D45" t="s">
        <v>2634</v>
      </c>
      <c r="F45" t="s">
        <v>2586</v>
      </c>
      <c r="H45"/>
      <c r="J45"/>
      <c r="L45"/>
      <c r="N45"/>
    </row>
    <row r="46" spans="1:14">
      <c r="A46" s="1109" t="str">
        <f t="shared" si="0"/>
        <v>NETWORK INFORMATION ; Table: Remote Second Line 6 Path, Row 1</v>
      </c>
      <c r="B46" t="s">
        <v>2535</v>
      </c>
      <c r="C46" t="s">
        <v>2635</v>
      </c>
      <c r="D46" t="s">
        <v>2636</v>
      </c>
      <c r="F46" t="s">
        <v>2557</v>
      </c>
      <c r="H46" t="s">
        <v>2558</v>
      </c>
      <c r="J46" t="s">
        <v>2559</v>
      </c>
      <c r="L46" t="s">
        <v>2560</v>
      </c>
      <c r="N46" t="s">
        <v>2561</v>
      </c>
    </row>
    <row r="47" spans="1:14">
      <c r="A47" s="1109" t="str">
        <f t="shared" si="0"/>
        <v>NETWORK INFORMATION ; Table: Remote Second Line 6 Path, Row 2</v>
      </c>
      <c r="B47" t="s">
        <v>2535</v>
      </c>
      <c r="C47" t="s">
        <v>2637</v>
      </c>
      <c r="D47" t="s">
        <v>2638</v>
      </c>
      <c r="F47" t="s">
        <v>2557</v>
      </c>
      <c r="H47" t="s">
        <v>2558</v>
      </c>
      <c r="J47" t="s">
        <v>2559</v>
      </c>
      <c r="L47" t="s">
        <v>2560</v>
      </c>
      <c r="N47" t="s">
        <v>2561</v>
      </c>
    </row>
    <row r="48" spans="1:14">
      <c r="A48" s="1109" t="str">
        <f t="shared" si="0"/>
        <v>NETWORK INFORMATION ; Table: Remote Second Line 6 Path, Row 3</v>
      </c>
      <c r="B48" t="s">
        <v>2535</v>
      </c>
      <c r="C48" t="s">
        <v>2639</v>
      </c>
      <c r="D48" t="s">
        <v>2640</v>
      </c>
      <c r="F48" t="s">
        <v>2557</v>
      </c>
      <c r="H48" t="s">
        <v>2558</v>
      </c>
      <c r="J48" t="s">
        <v>2559</v>
      </c>
      <c r="L48" t="s">
        <v>2560</v>
      </c>
      <c r="N48" t="s">
        <v>2561</v>
      </c>
    </row>
    <row r="49" spans="1:14">
      <c r="A49" s="1109" t="str">
        <f t="shared" si="0"/>
        <v>NETWORK INFORMATION ; Table: Remote Second Line 6 Path, Row 4</v>
      </c>
      <c r="B49" t="s">
        <v>2535</v>
      </c>
      <c r="C49" t="s">
        <v>2641</v>
      </c>
      <c r="D49" t="s">
        <v>2642</v>
      </c>
      <c r="F49" t="s">
        <v>2557</v>
      </c>
      <c r="H49" t="s">
        <v>2558</v>
      </c>
      <c r="J49" t="s">
        <v>2559</v>
      </c>
      <c r="L49" t="s">
        <v>2560</v>
      </c>
      <c r="N49" t="s">
        <v>2561</v>
      </c>
    </row>
    <row r="50" spans="1:14">
      <c r="A50" s="1109" t="str">
        <f t="shared" si="0"/>
        <v>NETWORK INFORMATION ; Table: Remote Second Line 6 Path, Row 5</v>
      </c>
      <c r="B50" t="s">
        <v>2535</v>
      </c>
      <c r="C50" t="s">
        <v>2643</v>
      </c>
      <c r="D50" t="s">
        <v>2644</v>
      </c>
      <c r="F50" t="s">
        <v>2557</v>
      </c>
      <c r="H50" t="s">
        <v>2558</v>
      </c>
      <c r="J50" t="s">
        <v>2559</v>
      </c>
      <c r="L50" t="s">
        <v>2560</v>
      </c>
      <c r="N50" t="s">
        <v>2561</v>
      </c>
    </row>
    <row r="51" spans="1:14">
      <c r="A51" s="1109" t="str">
        <f t="shared" si="0"/>
        <v>NETWORK INFORMATION ; Table: Remote Second Lines, Row 6</v>
      </c>
      <c r="B51" t="s">
        <v>2535</v>
      </c>
      <c r="C51" t="s">
        <v>2645</v>
      </c>
      <c r="D51" t="s">
        <v>2646</v>
      </c>
      <c r="F51" t="s">
        <v>2586</v>
      </c>
      <c r="H51"/>
      <c r="J51"/>
      <c r="L51"/>
      <c r="N51"/>
    </row>
    <row r="52" spans="1:14">
      <c r="A52" s="1109" t="str">
        <f t="shared" si="0"/>
        <v>NETWORK INFORMATION ; Table: Remote Second Line 7 Path, Row 1</v>
      </c>
      <c r="B52" t="s">
        <v>2535</v>
      </c>
      <c r="C52" t="s">
        <v>2647</v>
      </c>
      <c r="D52" t="s">
        <v>2648</v>
      </c>
      <c r="F52" t="s">
        <v>2557</v>
      </c>
      <c r="H52" t="s">
        <v>2558</v>
      </c>
      <c r="J52" t="s">
        <v>2559</v>
      </c>
      <c r="L52" t="s">
        <v>2560</v>
      </c>
      <c r="N52" t="s">
        <v>2561</v>
      </c>
    </row>
    <row r="53" spans="1:14">
      <c r="A53" s="1109" t="str">
        <f t="shared" si="0"/>
        <v>NETWORK INFORMATION ; Table: Remote Second Line 7 Path, Row 2</v>
      </c>
      <c r="B53" t="s">
        <v>2535</v>
      </c>
      <c r="C53" t="s">
        <v>2649</v>
      </c>
      <c r="D53" t="s">
        <v>2650</v>
      </c>
      <c r="F53" t="s">
        <v>2557</v>
      </c>
      <c r="H53" t="s">
        <v>2558</v>
      </c>
      <c r="J53" t="s">
        <v>2559</v>
      </c>
      <c r="L53" t="s">
        <v>2560</v>
      </c>
      <c r="N53" t="s">
        <v>2561</v>
      </c>
    </row>
    <row r="54" spans="1:14">
      <c r="A54" s="1109" t="str">
        <f t="shared" si="0"/>
        <v>NETWORK INFORMATION ; Table: Remote Second Line 7 Path, Row 3</v>
      </c>
      <c r="B54" t="s">
        <v>2535</v>
      </c>
      <c r="C54" t="s">
        <v>2651</v>
      </c>
      <c r="D54" t="s">
        <v>2652</v>
      </c>
      <c r="F54" t="s">
        <v>2557</v>
      </c>
      <c r="H54" t="s">
        <v>2558</v>
      </c>
      <c r="J54" t="s">
        <v>2559</v>
      </c>
      <c r="L54" t="s">
        <v>2560</v>
      </c>
      <c r="N54" t="s">
        <v>2561</v>
      </c>
    </row>
    <row r="55" spans="1:14">
      <c r="A55" s="1109" t="str">
        <f t="shared" si="0"/>
        <v>NETWORK INFORMATION ; Table: Remote Second Line 7 Path, Row 4</v>
      </c>
      <c r="B55" t="s">
        <v>2535</v>
      </c>
      <c r="C55" t="s">
        <v>2653</v>
      </c>
      <c r="D55" t="s">
        <v>2654</v>
      </c>
      <c r="F55" t="s">
        <v>2557</v>
      </c>
      <c r="H55" t="s">
        <v>2558</v>
      </c>
      <c r="J55" t="s">
        <v>2559</v>
      </c>
      <c r="L55" t="s">
        <v>2560</v>
      </c>
      <c r="N55" t="s">
        <v>2561</v>
      </c>
    </row>
    <row r="56" spans="1:14">
      <c r="A56" s="1109" t="str">
        <f t="shared" si="0"/>
        <v>NETWORK INFORMATION ; Table: Remote Second Line 7 Path, Row 5</v>
      </c>
      <c r="B56" t="s">
        <v>2535</v>
      </c>
      <c r="C56" t="s">
        <v>2655</v>
      </c>
      <c r="D56" t="s">
        <v>2656</v>
      </c>
      <c r="F56" t="s">
        <v>2557</v>
      </c>
      <c r="H56" t="s">
        <v>2558</v>
      </c>
      <c r="J56" t="s">
        <v>2559</v>
      </c>
      <c r="L56" t="s">
        <v>2560</v>
      </c>
      <c r="N56" t="s">
        <v>2561</v>
      </c>
    </row>
    <row r="57" spans="1:14">
      <c r="A57" s="1109" t="str">
        <f t="shared" si="0"/>
        <v>NETWORK INFORMATION ; Table: Remote Second Lines, Row 7</v>
      </c>
      <c r="B57" t="s">
        <v>2535</v>
      </c>
      <c r="C57" t="s">
        <v>2657</v>
      </c>
      <c r="D57" t="s">
        <v>2658</v>
      </c>
      <c r="F57" t="s">
        <v>2586</v>
      </c>
      <c r="H57"/>
      <c r="J57"/>
      <c r="L57"/>
      <c r="N57"/>
    </row>
    <row r="58" spans="1:14">
      <c r="A58" s="1109" t="str">
        <f t="shared" si="0"/>
        <v>NETWORK INFORMATION ; Table: Remote Second Line 8 Path, Row 1</v>
      </c>
      <c r="B58" t="s">
        <v>2535</v>
      </c>
      <c r="C58" t="s">
        <v>2659</v>
      </c>
      <c r="D58" t="s">
        <v>2660</v>
      </c>
      <c r="F58" t="s">
        <v>2557</v>
      </c>
      <c r="H58" t="s">
        <v>2558</v>
      </c>
      <c r="J58" t="s">
        <v>2559</v>
      </c>
      <c r="L58" t="s">
        <v>2560</v>
      </c>
      <c r="N58" t="s">
        <v>2561</v>
      </c>
    </row>
    <row r="59" spans="1:14">
      <c r="A59" s="1109" t="str">
        <f t="shared" si="0"/>
        <v>NETWORK INFORMATION ; Table: Remote Second Line 8 Path, Row 2</v>
      </c>
      <c r="B59" t="s">
        <v>2535</v>
      </c>
      <c r="C59" t="s">
        <v>2661</v>
      </c>
      <c r="D59" t="s">
        <v>2662</v>
      </c>
      <c r="F59" t="s">
        <v>2557</v>
      </c>
      <c r="H59" t="s">
        <v>2558</v>
      </c>
      <c r="J59" t="s">
        <v>2559</v>
      </c>
      <c r="L59" t="s">
        <v>2560</v>
      </c>
      <c r="N59" t="s">
        <v>2561</v>
      </c>
    </row>
    <row r="60" spans="1:14">
      <c r="A60" s="1109" t="str">
        <f t="shared" si="0"/>
        <v>NETWORK INFORMATION ; Table: Remote Second Line 8 Path, Row 3</v>
      </c>
      <c r="B60" t="s">
        <v>2535</v>
      </c>
      <c r="C60" t="s">
        <v>2663</v>
      </c>
      <c r="D60" t="s">
        <v>2664</v>
      </c>
      <c r="F60" t="s">
        <v>2557</v>
      </c>
      <c r="H60" t="s">
        <v>2558</v>
      </c>
      <c r="J60" t="s">
        <v>2559</v>
      </c>
      <c r="L60" t="s">
        <v>2560</v>
      </c>
      <c r="N60" t="s">
        <v>2561</v>
      </c>
    </row>
    <row r="61" spans="1:14">
      <c r="A61" s="1109" t="str">
        <f t="shared" si="0"/>
        <v>NETWORK INFORMATION ; Table: Remote Second Line 8 Path, Row 4</v>
      </c>
      <c r="B61" t="s">
        <v>2535</v>
      </c>
      <c r="C61" t="s">
        <v>2665</v>
      </c>
      <c r="D61" t="s">
        <v>2666</v>
      </c>
      <c r="F61" t="s">
        <v>2557</v>
      </c>
      <c r="H61" t="s">
        <v>2558</v>
      </c>
      <c r="J61" t="s">
        <v>2559</v>
      </c>
      <c r="L61" t="s">
        <v>2560</v>
      </c>
      <c r="N61" t="s">
        <v>2561</v>
      </c>
    </row>
    <row r="62" spans="1:14">
      <c r="A62" s="1109" t="str">
        <f t="shared" si="0"/>
        <v>NETWORK INFORMATION ; Table: Remote Second Line 8 Path, Row 5</v>
      </c>
      <c r="B62" t="s">
        <v>2535</v>
      </c>
      <c r="C62" t="s">
        <v>2667</v>
      </c>
      <c r="D62" t="s">
        <v>2668</v>
      </c>
      <c r="F62" t="s">
        <v>2557</v>
      </c>
      <c r="H62" t="s">
        <v>2558</v>
      </c>
      <c r="J62" t="s">
        <v>2559</v>
      </c>
      <c r="L62" t="s">
        <v>2560</v>
      </c>
      <c r="N62" t="s">
        <v>2561</v>
      </c>
    </row>
    <row r="63" spans="1:14">
      <c r="A63" s="1109" t="str">
        <f t="shared" si="0"/>
        <v>NETWORK INFORMATION ; Table: Remote Second Lines, Row 8</v>
      </c>
      <c r="B63" t="s">
        <v>2535</v>
      </c>
      <c r="C63" t="s">
        <v>2669</v>
      </c>
      <c r="D63" t="s">
        <v>2670</v>
      </c>
      <c r="F63" t="s">
        <v>2586</v>
      </c>
      <c r="H63"/>
      <c r="J63"/>
      <c r="L63"/>
      <c r="N63"/>
    </row>
    <row r="64" spans="1:14">
      <c r="A64" s="1109" t="str">
        <f t="shared" si="0"/>
        <v>NETWORK INFORMATION ; Table: Path of Tap 1, Row 1</v>
      </c>
      <c r="B64" t="s">
        <v>2535</v>
      </c>
      <c r="C64" t="s">
        <v>2671</v>
      </c>
      <c r="D64" t="s">
        <v>2672</v>
      </c>
      <c r="F64" t="s">
        <v>2557</v>
      </c>
      <c r="H64" t="s">
        <v>2558</v>
      </c>
      <c r="J64" t="s">
        <v>2559</v>
      </c>
      <c r="L64" t="s">
        <v>2560</v>
      </c>
      <c r="N64" t="s">
        <v>2561</v>
      </c>
    </row>
    <row r="65" spans="1:14">
      <c r="A65" s="1109" t="str">
        <f t="shared" si="0"/>
        <v>NETWORK INFORMATION ; Table: Path of Tap 1, Row 2</v>
      </c>
      <c r="B65" t="s">
        <v>2535</v>
      </c>
      <c r="C65" t="s">
        <v>2673</v>
      </c>
      <c r="D65" t="s">
        <v>2674</v>
      </c>
      <c r="F65" t="s">
        <v>2557</v>
      </c>
      <c r="H65" t="s">
        <v>2558</v>
      </c>
      <c r="J65" t="s">
        <v>2559</v>
      </c>
      <c r="L65" t="s">
        <v>2560</v>
      </c>
      <c r="N65" t="s">
        <v>2561</v>
      </c>
    </row>
    <row r="66" spans="1:14">
      <c r="A66" s="1109" t="str">
        <f t="shared" ref="A66:A129" si="1">_xlfn.CONCAT(B66, " ; ", C66)</f>
        <v>NETWORK INFORMATION ; Table: Path of Tap 1, Row 3</v>
      </c>
      <c r="B66" t="s">
        <v>2535</v>
      </c>
      <c r="C66" t="s">
        <v>2675</v>
      </c>
      <c r="D66" t="s">
        <v>2676</v>
      </c>
      <c r="F66" t="s">
        <v>2557</v>
      </c>
      <c r="H66" t="s">
        <v>2558</v>
      </c>
      <c r="J66" t="s">
        <v>2559</v>
      </c>
      <c r="L66" t="s">
        <v>2560</v>
      </c>
      <c r="N66" t="s">
        <v>2561</v>
      </c>
    </row>
    <row r="67" spans="1:14">
      <c r="A67" s="1109" t="str">
        <f t="shared" si="1"/>
        <v>NETWORK INFORMATION ; Table: Path of Tap 1, Row 4</v>
      </c>
      <c r="B67" t="s">
        <v>2535</v>
      </c>
      <c r="C67" t="s">
        <v>2677</v>
      </c>
      <c r="D67" t="s">
        <v>2678</v>
      </c>
      <c r="F67" t="s">
        <v>2557</v>
      </c>
      <c r="H67" t="s">
        <v>2558</v>
      </c>
      <c r="J67" t="s">
        <v>2559</v>
      </c>
      <c r="L67" t="s">
        <v>2560</v>
      </c>
      <c r="N67" t="s">
        <v>2561</v>
      </c>
    </row>
    <row r="68" spans="1:14">
      <c r="A68" s="1109" t="str">
        <f t="shared" si="1"/>
        <v>NETWORK INFORMATION ; Table: Path of Tap 1, Row 5</v>
      </c>
      <c r="B68" t="s">
        <v>2535</v>
      </c>
      <c r="C68" t="s">
        <v>2679</v>
      </c>
      <c r="D68" t="s">
        <v>2680</v>
      </c>
      <c r="F68" t="s">
        <v>2557</v>
      </c>
      <c r="H68" t="s">
        <v>2558</v>
      </c>
      <c r="J68" t="s">
        <v>2559</v>
      </c>
      <c r="L68" t="s">
        <v>2560</v>
      </c>
      <c r="N68" t="s">
        <v>2561</v>
      </c>
    </row>
    <row r="69" spans="1:14">
      <c r="A69" s="1109" t="str">
        <f t="shared" si="1"/>
        <v>NETWORK INFORMATION ; Table: Tap Buses, Row 1</v>
      </c>
      <c r="B69" t="s">
        <v>2535</v>
      </c>
      <c r="C69" t="s">
        <v>2681</v>
      </c>
      <c r="D69" t="s">
        <v>2682</v>
      </c>
      <c r="E69" s="964"/>
      <c r="F69" t="s">
        <v>2683</v>
      </c>
      <c r="H69" t="s">
        <v>2684</v>
      </c>
      <c r="J69"/>
      <c r="L69"/>
      <c r="N69"/>
    </row>
    <row r="70" spans="1:14">
      <c r="A70" s="1109" t="str">
        <f t="shared" si="1"/>
        <v>NETWORK INFORMATION ; Table: Path of Tap 2, Row 1</v>
      </c>
      <c r="B70" t="s">
        <v>2535</v>
      </c>
      <c r="C70" t="s">
        <v>2685</v>
      </c>
      <c r="D70" t="s">
        <v>2686</v>
      </c>
      <c r="F70" t="s">
        <v>2557</v>
      </c>
      <c r="H70" t="s">
        <v>2558</v>
      </c>
      <c r="J70" t="s">
        <v>2559</v>
      </c>
      <c r="L70" t="s">
        <v>2560</v>
      </c>
      <c r="N70" t="s">
        <v>2561</v>
      </c>
    </row>
    <row r="71" spans="1:14">
      <c r="A71" s="1109" t="str">
        <f t="shared" si="1"/>
        <v>NETWORK INFORMATION ; Table: Path of Tap 2, Row 2</v>
      </c>
      <c r="B71" t="s">
        <v>2535</v>
      </c>
      <c r="C71" t="s">
        <v>2687</v>
      </c>
      <c r="D71" t="s">
        <v>2688</v>
      </c>
      <c r="F71" t="s">
        <v>2557</v>
      </c>
      <c r="H71" t="s">
        <v>2558</v>
      </c>
      <c r="J71" t="s">
        <v>2559</v>
      </c>
      <c r="L71" t="s">
        <v>2560</v>
      </c>
      <c r="N71" t="s">
        <v>2561</v>
      </c>
    </row>
    <row r="72" spans="1:14">
      <c r="A72" s="1109" t="str">
        <f t="shared" si="1"/>
        <v>NETWORK INFORMATION ; Table: Path of Tap 2, Row 3</v>
      </c>
      <c r="B72" t="s">
        <v>2535</v>
      </c>
      <c r="C72" t="s">
        <v>2689</v>
      </c>
      <c r="D72" t="s">
        <v>2690</v>
      </c>
      <c r="F72" t="s">
        <v>2557</v>
      </c>
      <c r="H72" t="s">
        <v>2558</v>
      </c>
      <c r="J72" t="s">
        <v>2559</v>
      </c>
      <c r="L72" t="s">
        <v>2560</v>
      </c>
      <c r="N72" t="s">
        <v>2561</v>
      </c>
    </row>
    <row r="73" spans="1:14">
      <c r="A73" s="1109" t="str">
        <f t="shared" si="1"/>
        <v>NETWORK INFORMATION ; Table: Path of Tap 2, Row 4</v>
      </c>
      <c r="B73" t="s">
        <v>2535</v>
      </c>
      <c r="C73" t="s">
        <v>2691</v>
      </c>
      <c r="D73" t="s">
        <v>2692</v>
      </c>
      <c r="F73" t="s">
        <v>2557</v>
      </c>
      <c r="H73" t="s">
        <v>2558</v>
      </c>
      <c r="J73" t="s">
        <v>2559</v>
      </c>
      <c r="L73" t="s">
        <v>2560</v>
      </c>
      <c r="N73" t="s">
        <v>2561</v>
      </c>
    </row>
    <row r="74" spans="1:14">
      <c r="A74" s="1109" t="str">
        <f t="shared" si="1"/>
        <v>NETWORK INFORMATION ; Table: Path of Tap 2, Row 5</v>
      </c>
      <c r="B74" t="s">
        <v>2535</v>
      </c>
      <c r="C74" t="s">
        <v>2693</v>
      </c>
      <c r="D74" t="s">
        <v>2694</v>
      </c>
      <c r="F74" t="s">
        <v>2557</v>
      </c>
      <c r="H74" t="s">
        <v>2558</v>
      </c>
      <c r="J74" t="s">
        <v>2559</v>
      </c>
      <c r="L74" t="s">
        <v>2560</v>
      </c>
      <c r="N74" t="s">
        <v>2561</v>
      </c>
    </row>
    <row r="75" spans="1:14">
      <c r="A75" s="1109" t="str">
        <f t="shared" si="1"/>
        <v>NETWORK INFORMATION ; Table: Tap Buses, Row 2</v>
      </c>
      <c r="B75" t="s">
        <v>2535</v>
      </c>
      <c r="C75" t="s">
        <v>2695</v>
      </c>
      <c r="D75" t="s">
        <v>2696</v>
      </c>
      <c r="F75" t="s">
        <v>2683</v>
      </c>
      <c r="H75" t="s">
        <v>2684</v>
      </c>
      <c r="J75"/>
      <c r="L75"/>
      <c r="N75"/>
    </row>
    <row r="76" spans="1:14">
      <c r="A76" s="1109" t="str">
        <f t="shared" si="1"/>
        <v>NETWORK INFORMATION ; Table: Path of Tap 3, Row 1</v>
      </c>
      <c r="B76" t="s">
        <v>2535</v>
      </c>
      <c r="C76" t="s">
        <v>2697</v>
      </c>
      <c r="D76" t="s">
        <v>2698</v>
      </c>
      <c r="F76" t="s">
        <v>2557</v>
      </c>
      <c r="H76" t="s">
        <v>2558</v>
      </c>
      <c r="J76" t="s">
        <v>2559</v>
      </c>
      <c r="L76" t="s">
        <v>2560</v>
      </c>
      <c r="N76" t="s">
        <v>2561</v>
      </c>
    </row>
    <row r="77" spans="1:14">
      <c r="A77" s="1109" t="str">
        <f t="shared" si="1"/>
        <v>NETWORK INFORMATION ; Table: Path of Tap 3, Row 2</v>
      </c>
      <c r="B77" t="s">
        <v>2535</v>
      </c>
      <c r="C77" t="s">
        <v>2699</v>
      </c>
      <c r="D77" t="s">
        <v>2700</v>
      </c>
      <c r="F77" t="s">
        <v>2557</v>
      </c>
      <c r="H77" t="s">
        <v>2558</v>
      </c>
      <c r="J77" t="s">
        <v>2559</v>
      </c>
      <c r="L77" t="s">
        <v>2560</v>
      </c>
      <c r="N77" t="s">
        <v>2561</v>
      </c>
    </row>
    <row r="78" spans="1:14">
      <c r="A78" s="1109" t="str">
        <f t="shared" si="1"/>
        <v>NETWORK INFORMATION ; Table: Path of Tap 3, Row 3</v>
      </c>
      <c r="B78" t="s">
        <v>2535</v>
      </c>
      <c r="C78" t="s">
        <v>2701</v>
      </c>
      <c r="D78" t="s">
        <v>2702</v>
      </c>
      <c r="F78" t="s">
        <v>2557</v>
      </c>
      <c r="H78" t="s">
        <v>2558</v>
      </c>
      <c r="J78" t="s">
        <v>2559</v>
      </c>
      <c r="L78" t="s">
        <v>2560</v>
      </c>
      <c r="N78" t="s">
        <v>2561</v>
      </c>
    </row>
    <row r="79" spans="1:14">
      <c r="A79" s="1109" t="str">
        <f t="shared" si="1"/>
        <v>NETWORK INFORMATION ; Table: Path of Tap 3, Row 4</v>
      </c>
      <c r="B79" t="s">
        <v>2535</v>
      </c>
      <c r="C79" t="s">
        <v>2703</v>
      </c>
      <c r="D79" t="s">
        <v>2704</v>
      </c>
      <c r="F79" t="s">
        <v>2557</v>
      </c>
      <c r="H79" t="s">
        <v>2558</v>
      </c>
      <c r="J79" t="s">
        <v>2559</v>
      </c>
      <c r="L79" t="s">
        <v>2560</v>
      </c>
      <c r="N79" t="s">
        <v>2561</v>
      </c>
    </row>
    <row r="80" spans="1:14">
      <c r="A80" s="1109" t="str">
        <f t="shared" si="1"/>
        <v>NETWORK INFORMATION ; Table: Path of Tap 3, Row 5</v>
      </c>
      <c r="B80" t="s">
        <v>2535</v>
      </c>
      <c r="C80" t="s">
        <v>2705</v>
      </c>
      <c r="D80" t="s">
        <v>2706</v>
      </c>
      <c r="F80" t="s">
        <v>2557</v>
      </c>
      <c r="H80" t="s">
        <v>2558</v>
      </c>
      <c r="J80" t="s">
        <v>2559</v>
      </c>
      <c r="L80" t="s">
        <v>2560</v>
      </c>
      <c r="N80" t="s">
        <v>2561</v>
      </c>
    </row>
    <row r="81" spans="1:14">
      <c r="A81" s="1109" t="str">
        <f t="shared" si="1"/>
        <v>NETWORK INFORMATION ; Table: Tap Buses, Row 3</v>
      </c>
      <c r="B81" t="s">
        <v>2535</v>
      </c>
      <c r="C81" t="s">
        <v>2707</v>
      </c>
      <c r="D81" t="s">
        <v>2708</v>
      </c>
      <c r="F81" t="s">
        <v>2683</v>
      </c>
      <c r="H81" t="s">
        <v>2684</v>
      </c>
      <c r="J81"/>
      <c r="L81"/>
      <c r="N81"/>
    </row>
    <row r="82" spans="1:14">
      <c r="A82" s="1109" t="str">
        <f t="shared" si="1"/>
        <v>NETWORK INFORMATION ; Table: Path of Tap 4, Row 1</v>
      </c>
      <c r="B82" t="s">
        <v>2535</v>
      </c>
      <c r="C82" t="s">
        <v>2709</v>
      </c>
      <c r="D82" t="s">
        <v>2710</v>
      </c>
      <c r="F82" t="s">
        <v>2557</v>
      </c>
      <c r="H82" t="s">
        <v>2558</v>
      </c>
      <c r="J82" t="s">
        <v>2559</v>
      </c>
      <c r="L82" t="s">
        <v>2560</v>
      </c>
      <c r="N82" t="s">
        <v>2561</v>
      </c>
    </row>
    <row r="83" spans="1:14">
      <c r="A83" s="1109" t="str">
        <f t="shared" si="1"/>
        <v>NETWORK INFORMATION ; Table: Path of Tap 4, Row 2</v>
      </c>
      <c r="B83" t="s">
        <v>2535</v>
      </c>
      <c r="C83" t="s">
        <v>2711</v>
      </c>
      <c r="D83" t="s">
        <v>2712</v>
      </c>
      <c r="F83" t="s">
        <v>2557</v>
      </c>
      <c r="H83" t="s">
        <v>2558</v>
      </c>
      <c r="J83" t="s">
        <v>2559</v>
      </c>
      <c r="L83" t="s">
        <v>2560</v>
      </c>
      <c r="N83" t="s">
        <v>2561</v>
      </c>
    </row>
    <row r="84" spans="1:14">
      <c r="A84" s="1109" t="str">
        <f t="shared" si="1"/>
        <v>NETWORK INFORMATION ; Table: Path of Tap 4, Row 3</v>
      </c>
      <c r="B84" t="s">
        <v>2535</v>
      </c>
      <c r="C84" t="s">
        <v>2713</v>
      </c>
      <c r="D84" t="s">
        <v>2714</v>
      </c>
      <c r="F84" t="s">
        <v>2557</v>
      </c>
      <c r="H84" t="s">
        <v>2558</v>
      </c>
      <c r="J84" t="s">
        <v>2559</v>
      </c>
      <c r="L84" t="s">
        <v>2560</v>
      </c>
      <c r="N84" t="s">
        <v>2561</v>
      </c>
    </row>
    <row r="85" spans="1:14">
      <c r="A85" s="1109" t="str">
        <f t="shared" si="1"/>
        <v>NETWORK INFORMATION ; Table: Path of Tap 4, Row 4</v>
      </c>
      <c r="B85" t="s">
        <v>2535</v>
      </c>
      <c r="C85" t="s">
        <v>2715</v>
      </c>
      <c r="D85" t="s">
        <v>2716</v>
      </c>
      <c r="F85" t="s">
        <v>2557</v>
      </c>
      <c r="H85" t="s">
        <v>2558</v>
      </c>
      <c r="J85" t="s">
        <v>2559</v>
      </c>
      <c r="L85" t="s">
        <v>2560</v>
      </c>
      <c r="N85" t="s">
        <v>2561</v>
      </c>
    </row>
    <row r="86" spans="1:14">
      <c r="A86" s="1109" t="str">
        <f t="shared" si="1"/>
        <v>NETWORK INFORMATION ; Table: Path of Tap 4, Row 5</v>
      </c>
      <c r="B86" t="s">
        <v>2535</v>
      </c>
      <c r="C86" t="s">
        <v>2717</v>
      </c>
      <c r="D86" t="s">
        <v>2718</v>
      </c>
      <c r="F86" t="s">
        <v>2557</v>
      </c>
      <c r="H86" t="s">
        <v>2558</v>
      </c>
      <c r="J86" t="s">
        <v>2559</v>
      </c>
      <c r="L86" t="s">
        <v>2560</v>
      </c>
      <c r="N86" t="s">
        <v>2561</v>
      </c>
    </row>
    <row r="87" spans="1:14">
      <c r="A87" s="1109" t="str">
        <f t="shared" si="1"/>
        <v>NETWORK INFORMATION ; Table: Tap Buses, Row 4</v>
      </c>
      <c r="B87" t="s">
        <v>2535</v>
      </c>
      <c r="C87" t="s">
        <v>2719</v>
      </c>
      <c r="D87" t="s">
        <v>2720</v>
      </c>
      <c r="F87" t="s">
        <v>2683</v>
      </c>
      <c r="H87" t="s">
        <v>2684</v>
      </c>
      <c r="J87"/>
      <c r="L87"/>
      <c r="N87"/>
    </row>
    <row r="88" spans="1:14">
      <c r="A88" s="1109" t="str">
        <f t="shared" si="1"/>
        <v>NETWORK INFORMATION ; Table: Path of Tap 5, Row 1</v>
      </c>
      <c r="B88" t="s">
        <v>2535</v>
      </c>
      <c r="C88" t="s">
        <v>2721</v>
      </c>
      <c r="D88" t="s">
        <v>2722</v>
      </c>
      <c r="F88" t="s">
        <v>2557</v>
      </c>
      <c r="H88" t="s">
        <v>2558</v>
      </c>
      <c r="J88" t="s">
        <v>2559</v>
      </c>
      <c r="L88" t="s">
        <v>2560</v>
      </c>
      <c r="N88" t="s">
        <v>2561</v>
      </c>
    </row>
    <row r="89" spans="1:14">
      <c r="A89" s="1109" t="str">
        <f t="shared" si="1"/>
        <v>NETWORK INFORMATION ; Table: Path of Tap 5, Row 2</v>
      </c>
      <c r="B89" t="s">
        <v>2535</v>
      </c>
      <c r="C89" t="s">
        <v>2723</v>
      </c>
      <c r="D89" t="s">
        <v>2724</v>
      </c>
      <c r="F89" t="s">
        <v>2557</v>
      </c>
      <c r="H89" t="s">
        <v>2558</v>
      </c>
      <c r="J89" t="s">
        <v>2559</v>
      </c>
      <c r="L89" t="s">
        <v>2560</v>
      </c>
      <c r="N89" t="s">
        <v>2561</v>
      </c>
    </row>
    <row r="90" spans="1:14">
      <c r="A90" s="1109" t="str">
        <f t="shared" si="1"/>
        <v>NETWORK INFORMATION ; Table: Path of Tap 5, Row 3</v>
      </c>
      <c r="B90" t="s">
        <v>2535</v>
      </c>
      <c r="C90" t="s">
        <v>2725</v>
      </c>
      <c r="D90" t="s">
        <v>2726</v>
      </c>
      <c r="F90" t="s">
        <v>2557</v>
      </c>
      <c r="H90" t="s">
        <v>2558</v>
      </c>
      <c r="J90" t="s">
        <v>2559</v>
      </c>
      <c r="L90" t="s">
        <v>2560</v>
      </c>
      <c r="N90" t="s">
        <v>2561</v>
      </c>
    </row>
    <row r="91" spans="1:14">
      <c r="A91" s="1109" t="str">
        <f t="shared" si="1"/>
        <v>NETWORK INFORMATION ; Table: Path of Tap 5, Row 4</v>
      </c>
      <c r="B91" t="s">
        <v>2535</v>
      </c>
      <c r="C91" t="s">
        <v>2727</v>
      </c>
      <c r="D91" t="s">
        <v>2728</v>
      </c>
      <c r="F91" t="s">
        <v>2557</v>
      </c>
      <c r="H91" t="s">
        <v>2558</v>
      </c>
      <c r="J91" t="s">
        <v>2559</v>
      </c>
      <c r="L91" t="s">
        <v>2560</v>
      </c>
      <c r="N91" t="s">
        <v>2561</v>
      </c>
    </row>
    <row r="92" spans="1:14">
      <c r="A92" s="1109" t="str">
        <f t="shared" si="1"/>
        <v>NETWORK INFORMATION ; Table: Path of Tap 5, Row 5</v>
      </c>
      <c r="B92" t="s">
        <v>2535</v>
      </c>
      <c r="C92" t="s">
        <v>2729</v>
      </c>
      <c r="D92" t="s">
        <v>2730</v>
      </c>
      <c r="F92" t="s">
        <v>2557</v>
      </c>
      <c r="H92" t="s">
        <v>2558</v>
      </c>
      <c r="J92" t="s">
        <v>2559</v>
      </c>
      <c r="L92" t="s">
        <v>2560</v>
      </c>
      <c r="N92" t="s">
        <v>2561</v>
      </c>
    </row>
    <row r="93" spans="1:14">
      <c r="A93" s="1109" t="str">
        <f t="shared" si="1"/>
        <v>NETWORK INFORMATION ; Table: Tap Buses, Row 5</v>
      </c>
      <c r="B93" t="s">
        <v>2535</v>
      </c>
      <c r="C93" t="s">
        <v>2731</v>
      </c>
      <c r="D93" t="s">
        <v>2732</v>
      </c>
      <c r="F93" t="s">
        <v>2683</v>
      </c>
      <c r="H93" t="s">
        <v>2684</v>
      </c>
      <c r="J93"/>
      <c r="L93"/>
      <c r="N93"/>
    </row>
    <row r="94" spans="1:14">
      <c r="A94" s="1109" t="str">
        <f t="shared" si="1"/>
        <v>NETWORK INFORMATION ; Table: Path of Tap 6, Row 1</v>
      </c>
      <c r="B94" t="s">
        <v>2535</v>
      </c>
      <c r="C94" t="s">
        <v>2733</v>
      </c>
      <c r="D94" t="s">
        <v>2734</v>
      </c>
      <c r="F94" t="s">
        <v>2557</v>
      </c>
      <c r="H94" t="s">
        <v>2558</v>
      </c>
      <c r="J94" t="s">
        <v>2559</v>
      </c>
      <c r="L94" t="s">
        <v>2560</v>
      </c>
      <c r="N94" t="s">
        <v>2561</v>
      </c>
    </row>
    <row r="95" spans="1:14">
      <c r="A95" s="1109" t="str">
        <f t="shared" si="1"/>
        <v>NETWORK INFORMATION ; Table: Path of Tap 6, Row 2</v>
      </c>
      <c r="B95" t="s">
        <v>2535</v>
      </c>
      <c r="C95" t="s">
        <v>2735</v>
      </c>
      <c r="D95" t="s">
        <v>2736</v>
      </c>
      <c r="F95" t="s">
        <v>2557</v>
      </c>
      <c r="H95" t="s">
        <v>2558</v>
      </c>
      <c r="J95" t="s">
        <v>2559</v>
      </c>
      <c r="L95" t="s">
        <v>2560</v>
      </c>
      <c r="N95" t="s">
        <v>2561</v>
      </c>
    </row>
    <row r="96" spans="1:14">
      <c r="A96" s="1109" t="str">
        <f t="shared" si="1"/>
        <v>NETWORK INFORMATION ; Table: Path of Tap 6, Row 3</v>
      </c>
      <c r="B96" t="s">
        <v>2535</v>
      </c>
      <c r="C96" t="s">
        <v>2737</v>
      </c>
      <c r="D96" t="s">
        <v>2738</v>
      </c>
      <c r="F96" t="s">
        <v>2557</v>
      </c>
      <c r="H96" t="s">
        <v>2558</v>
      </c>
      <c r="J96" t="s">
        <v>2559</v>
      </c>
      <c r="L96" t="s">
        <v>2560</v>
      </c>
      <c r="N96" t="s">
        <v>2561</v>
      </c>
    </row>
    <row r="97" spans="1:14">
      <c r="A97" s="1109" t="str">
        <f t="shared" si="1"/>
        <v>NETWORK INFORMATION ; Table: Path of Tap 6, Row 4</v>
      </c>
      <c r="B97" t="s">
        <v>2535</v>
      </c>
      <c r="C97" t="s">
        <v>2739</v>
      </c>
      <c r="D97" t="s">
        <v>2740</v>
      </c>
      <c r="F97" t="s">
        <v>2557</v>
      </c>
      <c r="H97" t="s">
        <v>2558</v>
      </c>
      <c r="J97" t="s">
        <v>2559</v>
      </c>
      <c r="L97" t="s">
        <v>2560</v>
      </c>
      <c r="N97" t="s">
        <v>2561</v>
      </c>
    </row>
    <row r="98" spans="1:14">
      <c r="A98" s="1109" t="str">
        <f t="shared" si="1"/>
        <v>NETWORK INFORMATION ; Table: Path of Tap 6, Row 5</v>
      </c>
      <c r="B98" t="s">
        <v>2535</v>
      </c>
      <c r="C98" t="s">
        <v>2741</v>
      </c>
      <c r="D98" t="s">
        <v>2742</v>
      </c>
      <c r="F98" t="s">
        <v>2557</v>
      </c>
      <c r="H98" t="s">
        <v>2558</v>
      </c>
      <c r="J98" t="s">
        <v>2559</v>
      </c>
      <c r="L98" t="s">
        <v>2560</v>
      </c>
      <c r="N98" t="s">
        <v>2561</v>
      </c>
    </row>
    <row r="99" spans="1:14">
      <c r="A99" s="1109" t="str">
        <f t="shared" si="1"/>
        <v>NETWORK INFORMATION ; Table: Tap Buses, Row 6</v>
      </c>
      <c r="B99" t="s">
        <v>2535</v>
      </c>
      <c r="C99" t="s">
        <v>2743</v>
      </c>
      <c r="D99" t="s">
        <v>2744</v>
      </c>
      <c r="F99" t="s">
        <v>2683</v>
      </c>
      <c r="H99" t="s">
        <v>2684</v>
      </c>
      <c r="J99"/>
      <c r="L99"/>
      <c r="N99"/>
    </row>
    <row r="100" spans="1:14">
      <c r="A100" s="1109" t="str">
        <f t="shared" si="1"/>
        <v>NETWORK INFORMATION ; Table: Path of Tap 7, Row 1</v>
      </c>
      <c r="B100" t="s">
        <v>2535</v>
      </c>
      <c r="C100" t="s">
        <v>2745</v>
      </c>
      <c r="D100" t="s">
        <v>2746</v>
      </c>
      <c r="F100" t="s">
        <v>2557</v>
      </c>
      <c r="H100" t="s">
        <v>2558</v>
      </c>
      <c r="J100" t="s">
        <v>2559</v>
      </c>
      <c r="L100" t="s">
        <v>2560</v>
      </c>
      <c r="N100" t="s">
        <v>2561</v>
      </c>
    </row>
    <row r="101" spans="1:14">
      <c r="A101" s="1109" t="str">
        <f t="shared" si="1"/>
        <v>NETWORK INFORMATION ; Table: Path of Tap 7, Row 2</v>
      </c>
      <c r="B101" t="s">
        <v>2535</v>
      </c>
      <c r="C101" t="s">
        <v>2747</v>
      </c>
      <c r="D101" t="s">
        <v>2748</v>
      </c>
      <c r="F101" t="s">
        <v>2557</v>
      </c>
      <c r="H101" t="s">
        <v>2558</v>
      </c>
      <c r="J101" t="s">
        <v>2559</v>
      </c>
      <c r="L101" t="s">
        <v>2560</v>
      </c>
      <c r="N101" t="s">
        <v>2561</v>
      </c>
    </row>
    <row r="102" spans="1:14">
      <c r="A102" s="1109" t="str">
        <f t="shared" si="1"/>
        <v>NETWORK INFORMATION ; Table: Path of Tap 7, Row 3</v>
      </c>
      <c r="B102" t="s">
        <v>2535</v>
      </c>
      <c r="C102" t="s">
        <v>2749</v>
      </c>
      <c r="D102" t="s">
        <v>2750</v>
      </c>
      <c r="F102" t="s">
        <v>2557</v>
      </c>
      <c r="H102" t="s">
        <v>2558</v>
      </c>
      <c r="J102" t="s">
        <v>2559</v>
      </c>
      <c r="L102" t="s">
        <v>2560</v>
      </c>
      <c r="N102" t="s">
        <v>2561</v>
      </c>
    </row>
    <row r="103" spans="1:14">
      <c r="A103" s="1109" t="str">
        <f t="shared" si="1"/>
        <v>NETWORK INFORMATION ; Table: Path of Tap 7, Row 4</v>
      </c>
      <c r="B103" t="s">
        <v>2535</v>
      </c>
      <c r="C103" t="s">
        <v>2751</v>
      </c>
      <c r="D103" t="s">
        <v>2752</v>
      </c>
      <c r="F103" t="s">
        <v>2557</v>
      </c>
      <c r="H103" t="s">
        <v>2558</v>
      </c>
      <c r="J103" t="s">
        <v>2559</v>
      </c>
      <c r="L103" t="s">
        <v>2560</v>
      </c>
      <c r="N103" t="s">
        <v>2561</v>
      </c>
    </row>
    <row r="104" spans="1:14">
      <c r="A104" s="1109" t="str">
        <f t="shared" si="1"/>
        <v>NETWORK INFORMATION ; Table: Path of Tap 7, Row 5</v>
      </c>
      <c r="B104" t="s">
        <v>2535</v>
      </c>
      <c r="C104" t="s">
        <v>2753</v>
      </c>
      <c r="D104" t="s">
        <v>2754</v>
      </c>
      <c r="F104" t="s">
        <v>2557</v>
      </c>
      <c r="H104" t="s">
        <v>2558</v>
      </c>
      <c r="J104" t="s">
        <v>2559</v>
      </c>
      <c r="L104" t="s">
        <v>2560</v>
      </c>
      <c r="N104" t="s">
        <v>2561</v>
      </c>
    </row>
    <row r="105" spans="1:14">
      <c r="A105" s="1109" t="str">
        <f t="shared" si="1"/>
        <v>NETWORK INFORMATION ; Table: Tap Buses, Row 7</v>
      </c>
      <c r="B105" t="s">
        <v>2535</v>
      </c>
      <c r="C105" t="s">
        <v>2755</v>
      </c>
      <c r="D105" t="s">
        <v>2756</v>
      </c>
      <c r="F105" t="s">
        <v>2683</v>
      </c>
      <c r="H105" t="s">
        <v>2684</v>
      </c>
      <c r="J105"/>
      <c r="L105"/>
      <c r="N105"/>
    </row>
    <row r="106" spans="1:14">
      <c r="A106" s="1109" t="str">
        <f t="shared" si="1"/>
        <v>NETWORK INFORMATION ; Table: Path of Tap 8, Row 1</v>
      </c>
      <c r="B106" t="s">
        <v>2535</v>
      </c>
      <c r="C106" t="s">
        <v>2757</v>
      </c>
      <c r="D106" t="s">
        <v>2758</v>
      </c>
      <c r="F106" t="s">
        <v>2557</v>
      </c>
      <c r="H106" t="s">
        <v>2558</v>
      </c>
      <c r="J106" t="s">
        <v>2559</v>
      </c>
      <c r="L106" t="s">
        <v>2560</v>
      </c>
      <c r="N106" t="s">
        <v>2561</v>
      </c>
    </row>
    <row r="107" spans="1:14">
      <c r="A107" s="1109" t="str">
        <f t="shared" si="1"/>
        <v>NETWORK INFORMATION ; Table: Path of Tap 8, Row 2</v>
      </c>
      <c r="B107" t="s">
        <v>2535</v>
      </c>
      <c r="C107" t="s">
        <v>2759</v>
      </c>
      <c r="D107" t="s">
        <v>2760</v>
      </c>
      <c r="F107" t="s">
        <v>2557</v>
      </c>
      <c r="H107" t="s">
        <v>2558</v>
      </c>
      <c r="J107" t="s">
        <v>2559</v>
      </c>
      <c r="L107" t="s">
        <v>2560</v>
      </c>
      <c r="N107" t="s">
        <v>2561</v>
      </c>
    </row>
    <row r="108" spans="1:14">
      <c r="A108" s="1109" t="str">
        <f t="shared" si="1"/>
        <v>NETWORK INFORMATION ; Table: Path of Tap 8, Row 3</v>
      </c>
      <c r="B108" t="s">
        <v>2535</v>
      </c>
      <c r="C108" t="s">
        <v>2761</v>
      </c>
      <c r="D108" t="s">
        <v>2762</v>
      </c>
      <c r="F108" t="s">
        <v>2557</v>
      </c>
      <c r="H108" t="s">
        <v>2558</v>
      </c>
      <c r="J108" t="s">
        <v>2559</v>
      </c>
      <c r="L108" t="s">
        <v>2560</v>
      </c>
      <c r="N108" t="s">
        <v>2561</v>
      </c>
    </row>
    <row r="109" spans="1:14">
      <c r="A109" s="1109" t="str">
        <f t="shared" si="1"/>
        <v>NETWORK INFORMATION ; Table: Path of Tap 8, Row 4</v>
      </c>
      <c r="B109" t="s">
        <v>2535</v>
      </c>
      <c r="C109" t="s">
        <v>2763</v>
      </c>
      <c r="D109" t="s">
        <v>2764</v>
      </c>
      <c r="F109" t="s">
        <v>2557</v>
      </c>
      <c r="H109" t="s">
        <v>2558</v>
      </c>
      <c r="J109" t="s">
        <v>2559</v>
      </c>
      <c r="L109" t="s">
        <v>2560</v>
      </c>
      <c r="N109" t="s">
        <v>2561</v>
      </c>
    </row>
    <row r="110" spans="1:14">
      <c r="A110" s="1109" t="str">
        <f t="shared" si="1"/>
        <v>NETWORK INFORMATION ; Table: Path of Tap 8, Row 5</v>
      </c>
      <c r="B110" t="s">
        <v>2535</v>
      </c>
      <c r="C110" t="s">
        <v>2765</v>
      </c>
      <c r="D110" t="s">
        <v>2766</v>
      </c>
      <c r="F110" t="s">
        <v>2557</v>
      </c>
      <c r="H110" t="s">
        <v>2558</v>
      </c>
      <c r="J110" t="s">
        <v>2559</v>
      </c>
      <c r="L110" t="s">
        <v>2560</v>
      </c>
      <c r="N110" t="s">
        <v>2561</v>
      </c>
    </row>
    <row r="111" spans="1:14">
      <c r="A111" s="1109" t="str">
        <f t="shared" si="1"/>
        <v>NETWORK INFORMATION ; Table: Tap Buses, Row 8</v>
      </c>
      <c r="B111" t="s">
        <v>2535</v>
      </c>
      <c r="C111" t="s">
        <v>2767</v>
      </c>
      <c r="D111" t="s">
        <v>2768</v>
      </c>
      <c r="F111" t="s">
        <v>2683</v>
      </c>
      <c r="H111" t="s">
        <v>2684</v>
      </c>
      <c r="J111"/>
      <c r="L111"/>
      <c r="N111"/>
    </row>
    <row r="112" spans="1:14">
      <c r="A112" s="1109" t="str">
        <f t="shared" si="1"/>
        <v>NETWORK INFORMATION ; Table: Path to Tap 1, Row 1</v>
      </c>
      <c r="B112" t="s">
        <v>2535</v>
      </c>
      <c r="C112" t="s">
        <v>2769</v>
      </c>
      <c r="D112" t="s">
        <v>2770</v>
      </c>
      <c r="E112" s="964"/>
      <c r="F112" t="s">
        <v>2557</v>
      </c>
      <c r="H112" t="s">
        <v>2558</v>
      </c>
      <c r="J112" t="s">
        <v>2559</v>
      </c>
      <c r="L112" t="s">
        <v>2560</v>
      </c>
      <c r="N112" t="s">
        <v>2561</v>
      </c>
    </row>
    <row r="113" spans="1:14">
      <c r="A113" s="1109" t="str">
        <f t="shared" si="1"/>
        <v>NETWORK INFORMATION ; Table: Path to Tap 1, Row 2</v>
      </c>
      <c r="B113" t="s">
        <v>2535</v>
      </c>
      <c r="C113" t="s">
        <v>2771</v>
      </c>
      <c r="D113" t="s">
        <v>2772</v>
      </c>
      <c r="E113" s="964"/>
      <c r="F113" t="s">
        <v>2557</v>
      </c>
      <c r="H113" t="s">
        <v>2558</v>
      </c>
      <c r="J113" t="s">
        <v>2559</v>
      </c>
      <c r="L113" t="s">
        <v>2560</v>
      </c>
      <c r="N113" t="s">
        <v>2561</v>
      </c>
    </row>
    <row r="114" spans="1:14">
      <c r="A114" s="1109" t="str">
        <f t="shared" si="1"/>
        <v>NETWORK INFORMATION ; Table: Path to Tap 1, Row 3</v>
      </c>
      <c r="B114" t="s">
        <v>2535</v>
      </c>
      <c r="C114" t="s">
        <v>2773</v>
      </c>
      <c r="D114" t="s">
        <v>2774</v>
      </c>
      <c r="E114" s="964"/>
      <c r="F114" t="s">
        <v>2557</v>
      </c>
      <c r="H114" t="s">
        <v>2558</v>
      </c>
      <c r="J114" t="s">
        <v>2559</v>
      </c>
      <c r="L114" t="s">
        <v>2560</v>
      </c>
      <c r="N114" t="s">
        <v>2561</v>
      </c>
    </row>
    <row r="115" spans="1:14">
      <c r="A115" s="1109" t="str">
        <f t="shared" si="1"/>
        <v>NETWORK INFORMATION ; Table: Path to Tap 1, Row 4</v>
      </c>
      <c r="B115" t="s">
        <v>2535</v>
      </c>
      <c r="C115" t="s">
        <v>2775</v>
      </c>
      <c r="D115" t="s">
        <v>2776</v>
      </c>
      <c r="E115" s="964"/>
      <c r="F115" t="s">
        <v>2557</v>
      </c>
      <c r="H115" t="s">
        <v>2558</v>
      </c>
      <c r="J115" t="s">
        <v>2559</v>
      </c>
      <c r="L115" t="s">
        <v>2560</v>
      </c>
      <c r="N115" t="s">
        <v>2561</v>
      </c>
    </row>
    <row r="116" spans="1:14">
      <c r="A116" s="1109" t="str">
        <f t="shared" si="1"/>
        <v>NETWORK INFORMATION ; Table: Path to Tap 1, Row 5</v>
      </c>
      <c r="B116" t="s">
        <v>2535</v>
      </c>
      <c r="C116" t="s">
        <v>2777</v>
      </c>
      <c r="D116" t="s">
        <v>2778</v>
      </c>
      <c r="E116" s="964"/>
      <c r="F116" t="s">
        <v>2557</v>
      </c>
      <c r="H116" t="s">
        <v>2558</v>
      </c>
      <c r="J116" t="s">
        <v>2559</v>
      </c>
      <c r="L116" t="s">
        <v>2560</v>
      </c>
      <c r="N116" t="s">
        <v>2561</v>
      </c>
    </row>
    <row r="117" spans="1:14">
      <c r="A117" s="1109" t="str">
        <f t="shared" si="1"/>
        <v>NETWORK INFORMATION ; Table: Path to Tap 2, Row 1</v>
      </c>
      <c r="B117" t="s">
        <v>2535</v>
      </c>
      <c r="C117" t="s">
        <v>2779</v>
      </c>
      <c r="D117" t="s">
        <v>2780</v>
      </c>
      <c r="F117" t="s">
        <v>2557</v>
      </c>
      <c r="H117" t="s">
        <v>2558</v>
      </c>
      <c r="J117" t="s">
        <v>2559</v>
      </c>
      <c r="L117" t="s">
        <v>2560</v>
      </c>
      <c r="N117" t="s">
        <v>2561</v>
      </c>
    </row>
    <row r="118" spans="1:14">
      <c r="A118" s="1109" t="str">
        <f t="shared" si="1"/>
        <v>NETWORK INFORMATION ; Table: Path to Tap 2, Row 2</v>
      </c>
      <c r="B118" t="s">
        <v>2535</v>
      </c>
      <c r="C118" t="s">
        <v>2781</v>
      </c>
      <c r="D118" t="s">
        <v>2782</v>
      </c>
      <c r="F118" t="s">
        <v>2557</v>
      </c>
      <c r="H118" t="s">
        <v>2558</v>
      </c>
      <c r="J118" t="s">
        <v>2559</v>
      </c>
      <c r="L118" t="s">
        <v>2560</v>
      </c>
      <c r="N118" t="s">
        <v>2561</v>
      </c>
    </row>
    <row r="119" spans="1:14">
      <c r="A119" s="1109" t="str">
        <f t="shared" si="1"/>
        <v>NETWORK INFORMATION ; Table: Path to Tap 2, Row 3</v>
      </c>
      <c r="B119" t="s">
        <v>2535</v>
      </c>
      <c r="C119" t="s">
        <v>2783</v>
      </c>
      <c r="D119" t="s">
        <v>2784</v>
      </c>
      <c r="F119" t="s">
        <v>2557</v>
      </c>
      <c r="H119" t="s">
        <v>2558</v>
      </c>
      <c r="J119" t="s">
        <v>2559</v>
      </c>
      <c r="L119" t="s">
        <v>2560</v>
      </c>
      <c r="N119" t="s">
        <v>2561</v>
      </c>
    </row>
    <row r="120" spans="1:14">
      <c r="A120" s="1109" t="str">
        <f t="shared" si="1"/>
        <v>NETWORK INFORMATION ; Table: Path to Tap 2, Row 4</v>
      </c>
      <c r="B120" t="s">
        <v>2535</v>
      </c>
      <c r="C120" t="s">
        <v>2785</v>
      </c>
      <c r="D120" t="s">
        <v>2786</v>
      </c>
      <c r="F120" t="s">
        <v>2557</v>
      </c>
      <c r="H120" t="s">
        <v>2558</v>
      </c>
      <c r="J120" t="s">
        <v>2559</v>
      </c>
      <c r="L120" t="s">
        <v>2560</v>
      </c>
      <c r="N120" t="s">
        <v>2561</v>
      </c>
    </row>
    <row r="121" spans="1:14">
      <c r="A121" s="1109" t="str">
        <f t="shared" si="1"/>
        <v>NETWORK INFORMATION ; Table: Path to Tap 2, Row 5</v>
      </c>
      <c r="B121" t="s">
        <v>2535</v>
      </c>
      <c r="C121" t="s">
        <v>2787</v>
      </c>
      <c r="D121" t="s">
        <v>2788</v>
      </c>
      <c r="F121" t="s">
        <v>2557</v>
      </c>
      <c r="H121" t="s">
        <v>2558</v>
      </c>
      <c r="J121" t="s">
        <v>2559</v>
      </c>
      <c r="L121" t="s">
        <v>2560</v>
      </c>
      <c r="N121" t="s">
        <v>2561</v>
      </c>
    </row>
    <row r="122" spans="1:14">
      <c r="A122" s="1109" t="str">
        <f t="shared" si="1"/>
        <v>NETWORK INFORMATION ; Table: Path to Tap 3, Row 1</v>
      </c>
      <c r="B122" t="s">
        <v>2535</v>
      </c>
      <c r="C122" t="s">
        <v>2789</v>
      </c>
      <c r="D122" t="s">
        <v>2790</v>
      </c>
      <c r="F122" t="s">
        <v>2557</v>
      </c>
      <c r="H122" t="s">
        <v>2558</v>
      </c>
      <c r="J122" t="s">
        <v>2559</v>
      </c>
      <c r="L122" t="s">
        <v>2560</v>
      </c>
      <c r="N122" t="s">
        <v>2561</v>
      </c>
    </row>
    <row r="123" spans="1:14">
      <c r="A123" s="1109" t="str">
        <f t="shared" si="1"/>
        <v>NETWORK INFORMATION ; Table: Path to Tap 3, Row 2</v>
      </c>
      <c r="B123" t="s">
        <v>2535</v>
      </c>
      <c r="C123" t="s">
        <v>2791</v>
      </c>
      <c r="D123" t="s">
        <v>2792</v>
      </c>
      <c r="F123" t="s">
        <v>2557</v>
      </c>
      <c r="H123" t="s">
        <v>2558</v>
      </c>
      <c r="J123" t="s">
        <v>2559</v>
      </c>
      <c r="L123" t="s">
        <v>2560</v>
      </c>
      <c r="N123" t="s">
        <v>2561</v>
      </c>
    </row>
    <row r="124" spans="1:14">
      <c r="A124" s="1109" t="str">
        <f t="shared" si="1"/>
        <v>NETWORK INFORMATION ; Table: Path to Tap 3, Row 3</v>
      </c>
      <c r="B124" t="s">
        <v>2535</v>
      </c>
      <c r="C124" t="s">
        <v>2793</v>
      </c>
      <c r="D124" t="s">
        <v>2794</v>
      </c>
      <c r="F124" t="s">
        <v>2557</v>
      </c>
      <c r="H124" t="s">
        <v>2558</v>
      </c>
      <c r="J124" t="s">
        <v>2559</v>
      </c>
      <c r="L124" t="s">
        <v>2560</v>
      </c>
      <c r="N124" t="s">
        <v>2561</v>
      </c>
    </row>
    <row r="125" spans="1:14">
      <c r="A125" s="1109" t="str">
        <f t="shared" si="1"/>
        <v>NETWORK INFORMATION ; Table: Path to Tap 3, Row 4</v>
      </c>
      <c r="B125" t="s">
        <v>2535</v>
      </c>
      <c r="C125" t="s">
        <v>2795</v>
      </c>
      <c r="D125" t="s">
        <v>2796</v>
      </c>
      <c r="F125" t="s">
        <v>2557</v>
      </c>
      <c r="H125" t="s">
        <v>2558</v>
      </c>
      <c r="J125" t="s">
        <v>2559</v>
      </c>
      <c r="L125" t="s">
        <v>2560</v>
      </c>
      <c r="N125" t="s">
        <v>2561</v>
      </c>
    </row>
    <row r="126" spans="1:14">
      <c r="A126" s="1109" t="str">
        <f t="shared" si="1"/>
        <v>NETWORK INFORMATION ; Table: Path to Tap 3, Row 5</v>
      </c>
      <c r="B126" t="s">
        <v>2535</v>
      </c>
      <c r="C126" t="s">
        <v>2797</v>
      </c>
      <c r="D126" t="s">
        <v>2798</v>
      </c>
      <c r="F126" t="s">
        <v>2557</v>
      </c>
      <c r="H126" t="s">
        <v>2558</v>
      </c>
      <c r="J126" t="s">
        <v>2559</v>
      </c>
      <c r="L126" t="s">
        <v>2560</v>
      </c>
      <c r="N126" t="s">
        <v>2561</v>
      </c>
    </row>
    <row r="127" spans="1:14">
      <c r="A127" s="1109" t="str">
        <f t="shared" si="1"/>
        <v>NETWORK INFORMATION ; Table: Path to Tap 4, Row 1</v>
      </c>
      <c r="B127" t="s">
        <v>2535</v>
      </c>
      <c r="C127" t="s">
        <v>2799</v>
      </c>
      <c r="D127" t="s">
        <v>2800</v>
      </c>
      <c r="F127" t="s">
        <v>2557</v>
      </c>
      <c r="H127" t="s">
        <v>2558</v>
      </c>
      <c r="J127" t="s">
        <v>2559</v>
      </c>
      <c r="L127" t="s">
        <v>2560</v>
      </c>
      <c r="N127" t="s">
        <v>2561</v>
      </c>
    </row>
    <row r="128" spans="1:14">
      <c r="A128" s="1109" t="str">
        <f t="shared" si="1"/>
        <v>NETWORK INFORMATION ; Table: Path to Tap 4, Row 2</v>
      </c>
      <c r="B128" t="s">
        <v>2535</v>
      </c>
      <c r="C128" t="s">
        <v>2801</v>
      </c>
      <c r="D128" t="s">
        <v>2802</v>
      </c>
      <c r="F128" t="s">
        <v>2557</v>
      </c>
      <c r="H128" t="s">
        <v>2558</v>
      </c>
      <c r="J128" t="s">
        <v>2559</v>
      </c>
      <c r="L128" t="s">
        <v>2560</v>
      </c>
      <c r="N128" t="s">
        <v>2561</v>
      </c>
    </row>
    <row r="129" spans="1:14">
      <c r="A129" s="1109" t="str">
        <f t="shared" si="1"/>
        <v>NETWORK INFORMATION ; Table: Path to Tap 4, Row 3</v>
      </c>
      <c r="B129" t="s">
        <v>2535</v>
      </c>
      <c r="C129" t="s">
        <v>2803</v>
      </c>
      <c r="D129" t="s">
        <v>2804</v>
      </c>
      <c r="F129" t="s">
        <v>2557</v>
      </c>
      <c r="H129" t="s">
        <v>2558</v>
      </c>
      <c r="J129" t="s">
        <v>2559</v>
      </c>
      <c r="L129" t="s">
        <v>2560</v>
      </c>
      <c r="N129" t="s">
        <v>2561</v>
      </c>
    </row>
    <row r="130" spans="1:14">
      <c r="A130" s="1109" t="str">
        <f t="shared" ref="A130:A193" si="2">_xlfn.CONCAT(B130, " ; ", C130)</f>
        <v>NETWORK INFORMATION ; Table: Path to Tap 4, Row 4</v>
      </c>
      <c r="B130" t="s">
        <v>2535</v>
      </c>
      <c r="C130" t="s">
        <v>2805</v>
      </c>
      <c r="D130" t="s">
        <v>2806</v>
      </c>
      <c r="F130" t="s">
        <v>2557</v>
      </c>
      <c r="H130" t="s">
        <v>2558</v>
      </c>
      <c r="J130" t="s">
        <v>2559</v>
      </c>
      <c r="L130" t="s">
        <v>2560</v>
      </c>
      <c r="N130" t="s">
        <v>2561</v>
      </c>
    </row>
    <row r="131" spans="1:14">
      <c r="A131" s="1109" t="str">
        <f t="shared" si="2"/>
        <v>NETWORK INFORMATION ; Table: Path to Tap 4, Row 5</v>
      </c>
      <c r="B131" t="s">
        <v>2535</v>
      </c>
      <c r="C131" t="s">
        <v>2807</v>
      </c>
      <c r="D131" t="s">
        <v>2808</v>
      </c>
      <c r="F131" t="s">
        <v>2557</v>
      </c>
      <c r="H131" t="s">
        <v>2558</v>
      </c>
      <c r="J131" t="s">
        <v>2559</v>
      </c>
      <c r="L131" t="s">
        <v>2560</v>
      </c>
      <c r="N131" t="s">
        <v>2561</v>
      </c>
    </row>
    <row r="132" spans="1:14">
      <c r="A132" s="1109" t="str">
        <f t="shared" si="2"/>
        <v>NETWORK INFORMATION ; Table: Path to Tap 5, Row 1</v>
      </c>
      <c r="B132" t="s">
        <v>2535</v>
      </c>
      <c r="C132" t="s">
        <v>2809</v>
      </c>
      <c r="D132" t="s">
        <v>2810</v>
      </c>
      <c r="F132" t="s">
        <v>2557</v>
      </c>
      <c r="H132" t="s">
        <v>2558</v>
      </c>
      <c r="J132" t="s">
        <v>2559</v>
      </c>
      <c r="L132" t="s">
        <v>2560</v>
      </c>
      <c r="N132" t="s">
        <v>2561</v>
      </c>
    </row>
    <row r="133" spans="1:14">
      <c r="A133" s="1109" t="str">
        <f t="shared" si="2"/>
        <v>NETWORK INFORMATION ; Table: Path to Tap 5, Row 2</v>
      </c>
      <c r="B133" t="s">
        <v>2535</v>
      </c>
      <c r="C133" t="s">
        <v>2811</v>
      </c>
      <c r="D133" t="s">
        <v>2812</v>
      </c>
      <c r="F133" t="s">
        <v>2557</v>
      </c>
      <c r="H133" t="s">
        <v>2558</v>
      </c>
      <c r="J133" t="s">
        <v>2559</v>
      </c>
      <c r="L133" t="s">
        <v>2560</v>
      </c>
      <c r="N133" t="s">
        <v>2561</v>
      </c>
    </row>
    <row r="134" spans="1:14">
      <c r="A134" s="1109" t="str">
        <f t="shared" si="2"/>
        <v>NETWORK INFORMATION ; Table: Path to Tap 5, Row 3</v>
      </c>
      <c r="B134" t="s">
        <v>2535</v>
      </c>
      <c r="C134" t="s">
        <v>2813</v>
      </c>
      <c r="D134" t="s">
        <v>2814</v>
      </c>
      <c r="F134" t="s">
        <v>2557</v>
      </c>
      <c r="H134" t="s">
        <v>2558</v>
      </c>
      <c r="J134" t="s">
        <v>2559</v>
      </c>
      <c r="L134" t="s">
        <v>2560</v>
      </c>
      <c r="N134" t="s">
        <v>2561</v>
      </c>
    </row>
    <row r="135" spans="1:14">
      <c r="A135" s="1109" t="str">
        <f t="shared" si="2"/>
        <v>NETWORK INFORMATION ; Table: Path to Tap 5, Row 4</v>
      </c>
      <c r="B135" t="s">
        <v>2535</v>
      </c>
      <c r="C135" t="s">
        <v>2815</v>
      </c>
      <c r="D135" t="s">
        <v>2816</v>
      </c>
      <c r="F135" t="s">
        <v>2557</v>
      </c>
      <c r="H135" t="s">
        <v>2558</v>
      </c>
      <c r="J135" t="s">
        <v>2559</v>
      </c>
      <c r="L135" t="s">
        <v>2560</v>
      </c>
      <c r="N135" t="s">
        <v>2561</v>
      </c>
    </row>
    <row r="136" spans="1:14">
      <c r="A136" s="1109" t="str">
        <f t="shared" si="2"/>
        <v>NETWORK INFORMATION ; Table: Path to Tap 5, Row 5</v>
      </c>
      <c r="B136" t="s">
        <v>2535</v>
      </c>
      <c r="C136" t="s">
        <v>2817</v>
      </c>
      <c r="D136" t="s">
        <v>2818</v>
      </c>
      <c r="F136" t="s">
        <v>2557</v>
      </c>
      <c r="H136" t="s">
        <v>2558</v>
      </c>
      <c r="J136" t="s">
        <v>2559</v>
      </c>
      <c r="L136" t="s">
        <v>2560</v>
      </c>
      <c r="N136" t="s">
        <v>2561</v>
      </c>
    </row>
    <row r="137" spans="1:14">
      <c r="A137" s="1109" t="str">
        <f t="shared" si="2"/>
        <v>NETWORK INFORMATION ; Table: Path to Tap 6, Row 1</v>
      </c>
      <c r="B137" t="s">
        <v>2535</v>
      </c>
      <c r="C137" t="s">
        <v>2819</v>
      </c>
      <c r="D137" t="s">
        <v>2820</v>
      </c>
      <c r="F137" t="s">
        <v>2557</v>
      </c>
      <c r="H137" t="s">
        <v>2558</v>
      </c>
      <c r="J137" t="s">
        <v>2559</v>
      </c>
      <c r="L137" t="s">
        <v>2560</v>
      </c>
      <c r="N137" t="s">
        <v>2561</v>
      </c>
    </row>
    <row r="138" spans="1:14">
      <c r="A138" s="1109" t="str">
        <f t="shared" si="2"/>
        <v>NETWORK INFORMATION ; Table: Path to Tap 6, Row 2</v>
      </c>
      <c r="B138" t="s">
        <v>2535</v>
      </c>
      <c r="C138" t="s">
        <v>2821</v>
      </c>
      <c r="D138" t="s">
        <v>2822</v>
      </c>
      <c r="F138" t="s">
        <v>2557</v>
      </c>
      <c r="H138" t="s">
        <v>2558</v>
      </c>
      <c r="J138" t="s">
        <v>2559</v>
      </c>
      <c r="L138" t="s">
        <v>2560</v>
      </c>
      <c r="N138" t="s">
        <v>2561</v>
      </c>
    </row>
    <row r="139" spans="1:14">
      <c r="A139" s="1109" t="str">
        <f t="shared" si="2"/>
        <v>NETWORK INFORMATION ; Table: Path to Tap 6, Row 3</v>
      </c>
      <c r="B139" t="s">
        <v>2535</v>
      </c>
      <c r="C139" t="s">
        <v>2823</v>
      </c>
      <c r="D139" t="s">
        <v>2824</v>
      </c>
      <c r="F139" t="s">
        <v>2557</v>
      </c>
      <c r="H139" t="s">
        <v>2558</v>
      </c>
      <c r="J139" t="s">
        <v>2559</v>
      </c>
      <c r="L139" t="s">
        <v>2560</v>
      </c>
      <c r="N139" t="s">
        <v>2561</v>
      </c>
    </row>
    <row r="140" spans="1:14">
      <c r="A140" s="1109" t="str">
        <f t="shared" si="2"/>
        <v>NETWORK INFORMATION ; Table: Path to Tap 6, Row 4</v>
      </c>
      <c r="B140" t="s">
        <v>2535</v>
      </c>
      <c r="C140" t="s">
        <v>2825</v>
      </c>
      <c r="D140" t="s">
        <v>2826</v>
      </c>
      <c r="F140" t="s">
        <v>2557</v>
      </c>
      <c r="H140" t="s">
        <v>2558</v>
      </c>
      <c r="J140" t="s">
        <v>2559</v>
      </c>
      <c r="L140" t="s">
        <v>2560</v>
      </c>
      <c r="N140" t="s">
        <v>2561</v>
      </c>
    </row>
    <row r="141" spans="1:14">
      <c r="A141" s="1109" t="str">
        <f t="shared" si="2"/>
        <v>NETWORK INFORMATION ; Table: Path to Tap 6, Row 5</v>
      </c>
      <c r="B141" t="s">
        <v>2535</v>
      </c>
      <c r="C141" t="s">
        <v>2827</v>
      </c>
      <c r="D141" t="s">
        <v>2828</v>
      </c>
      <c r="F141" t="s">
        <v>2557</v>
      </c>
      <c r="H141" t="s">
        <v>2558</v>
      </c>
      <c r="J141" t="s">
        <v>2559</v>
      </c>
      <c r="L141" t="s">
        <v>2560</v>
      </c>
      <c r="N141" t="s">
        <v>2561</v>
      </c>
    </row>
    <row r="142" spans="1:14">
      <c r="A142" s="1109" t="str">
        <f t="shared" si="2"/>
        <v>NETWORK INFORMATION ; Table: Path to Tap 7, Row 1</v>
      </c>
      <c r="B142" t="s">
        <v>2535</v>
      </c>
      <c r="C142" t="s">
        <v>2829</v>
      </c>
      <c r="D142" t="s">
        <v>2830</v>
      </c>
      <c r="F142" t="s">
        <v>2557</v>
      </c>
      <c r="H142" t="s">
        <v>2558</v>
      </c>
      <c r="J142" t="s">
        <v>2559</v>
      </c>
      <c r="L142" t="s">
        <v>2560</v>
      </c>
      <c r="N142" t="s">
        <v>2561</v>
      </c>
    </row>
    <row r="143" spans="1:14">
      <c r="A143" s="1109" t="str">
        <f t="shared" si="2"/>
        <v>NETWORK INFORMATION ; Table: Path to Tap 7, Row 2</v>
      </c>
      <c r="B143" t="s">
        <v>2535</v>
      </c>
      <c r="C143" t="s">
        <v>2831</v>
      </c>
      <c r="D143" t="s">
        <v>2832</v>
      </c>
      <c r="F143" t="s">
        <v>2557</v>
      </c>
      <c r="H143" t="s">
        <v>2558</v>
      </c>
      <c r="J143" t="s">
        <v>2559</v>
      </c>
      <c r="L143" t="s">
        <v>2560</v>
      </c>
      <c r="N143" t="s">
        <v>2561</v>
      </c>
    </row>
    <row r="144" spans="1:14">
      <c r="A144" s="1109" t="str">
        <f t="shared" si="2"/>
        <v>NETWORK INFORMATION ; Table: Path to Tap 7, Row 3</v>
      </c>
      <c r="B144" t="s">
        <v>2535</v>
      </c>
      <c r="C144" t="s">
        <v>2833</v>
      </c>
      <c r="D144" t="s">
        <v>2834</v>
      </c>
      <c r="F144" t="s">
        <v>2557</v>
      </c>
      <c r="H144" t="s">
        <v>2558</v>
      </c>
      <c r="J144" t="s">
        <v>2559</v>
      </c>
      <c r="L144" t="s">
        <v>2560</v>
      </c>
      <c r="N144" t="s">
        <v>2561</v>
      </c>
    </row>
    <row r="145" spans="1:14">
      <c r="A145" s="1109" t="str">
        <f t="shared" si="2"/>
        <v>NETWORK INFORMATION ; Table: Path to Tap 7, Row 4</v>
      </c>
      <c r="B145" t="s">
        <v>2535</v>
      </c>
      <c r="C145" t="s">
        <v>2835</v>
      </c>
      <c r="D145" t="s">
        <v>2836</v>
      </c>
      <c r="F145" t="s">
        <v>2557</v>
      </c>
      <c r="H145" t="s">
        <v>2558</v>
      </c>
      <c r="J145" t="s">
        <v>2559</v>
      </c>
      <c r="L145" t="s">
        <v>2560</v>
      </c>
      <c r="N145" t="s">
        <v>2561</v>
      </c>
    </row>
    <row r="146" spans="1:14">
      <c r="A146" s="1109" t="str">
        <f t="shared" si="2"/>
        <v>NETWORK INFORMATION ; Table: Path to Tap 7, Row 5</v>
      </c>
      <c r="B146" t="s">
        <v>2535</v>
      </c>
      <c r="C146" t="s">
        <v>2837</v>
      </c>
      <c r="D146" t="s">
        <v>2838</v>
      </c>
      <c r="F146" t="s">
        <v>2557</v>
      </c>
      <c r="H146" t="s">
        <v>2558</v>
      </c>
      <c r="J146" t="s">
        <v>2559</v>
      </c>
      <c r="L146" t="s">
        <v>2560</v>
      </c>
      <c r="N146" t="s">
        <v>2561</v>
      </c>
    </row>
    <row r="147" spans="1:14">
      <c r="A147" s="1109" t="str">
        <f t="shared" si="2"/>
        <v>NETWORK INFORMATION ; Table: Path to Tap 8, Row 1</v>
      </c>
      <c r="B147" t="s">
        <v>2535</v>
      </c>
      <c r="C147" t="s">
        <v>2839</v>
      </c>
      <c r="D147" t="s">
        <v>2840</v>
      </c>
      <c r="F147" t="s">
        <v>2557</v>
      </c>
      <c r="H147" t="s">
        <v>2558</v>
      </c>
      <c r="J147" t="s">
        <v>2559</v>
      </c>
      <c r="L147" t="s">
        <v>2560</v>
      </c>
      <c r="N147" t="s">
        <v>2561</v>
      </c>
    </row>
    <row r="148" spans="1:14">
      <c r="A148" s="1109" t="str">
        <f t="shared" si="2"/>
        <v>NETWORK INFORMATION ; Table: Path to Tap 8, Row 2</v>
      </c>
      <c r="B148" t="s">
        <v>2535</v>
      </c>
      <c r="C148" t="s">
        <v>2841</v>
      </c>
      <c r="D148" t="s">
        <v>2842</v>
      </c>
      <c r="F148" t="s">
        <v>2557</v>
      </c>
      <c r="H148" t="s">
        <v>2558</v>
      </c>
      <c r="J148" t="s">
        <v>2559</v>
      </c>
      <c r="L148" t="s">
        <v>2560</v>
      </c>
      <c r="N148" t="s">
        <v>2561</v>
      </c>
    </row>
    <row r="149" spans="1:14">
      <c r="A149" s="1109" t="str">
        <f t="shared" si="2"/>
        <v>NETWORK INFORMATION ; Table: Path to Tap 8, Row 3</v>
      </c>
      <c r="B149" t="s">
        <v>2535</v>
      </c>
      <c r="C149" t="s">
        <v>2843</v>
      </c>
      <c r="D149" t="s">
        <v>2844</v>
      </c>
      <c r="F149" t="s">
        <v>2557</v>
      </c>
      <c r="H149" t="s">
        <v>2558</v>
      </c>
      <c r="J149" t="s">
        <v>2559</v>
      </c>
      <c r="L149" t="s">
        <v>2560</v>
      </c>
      <c r="N149" t="s">
        <v>2561</v>
      </c>
    </row>
    <row r="150" spans="1:14">
      <c r="A150" s="1109" t="str">
        <f t="shared" si="2"/>
        <v>NETWORK INFORMATION ; Table: Path to Tap 8, Row 4</v>
      </c>
      <c r="B150" t="s">
        <v>2535</v>
      </c>
      <c r="C150" t="s">
        <v>2845</v>
      </c>
      <c r="D150" t="s">
        <v>2846</v>
      </c>
      <c r="F150" t="s">
        <v>2557</v>
      </c>
      <c r="H150" t="s">
        <v>2558</v>
      </c>
      <c r="J150" t="s">
        <v>2559</v>
      </c>
      <c r="L150" t="s">
        <v>2560</v>
      </c>
      <c r="N150" t="s">
        <v>2561</v>
      </c>
    </row>
    <row r="151" spans="1:14">
      <c r="A151" s="1109" t="str">
        <f t="shared" si="2"/>
        <v>NETWORK INFORMATION ; Table: Path to Tap 8, Row 5</v>
      </c>
      <c r="B151" t="s">
        <v>2535</v>
      </c>
      <c r="C151" t="s">
        <v>2847</v>
      </c>
      <c r="D151" t="s">
        <v>2848</v>
      </c>
      <c r="F151" t="s">
        <v>2557</v>
      </c>
      <c r="H151" t="s">
        <v>2558</v>
      </c>
      <c r="J151" t="s">
        <v>2559</v>
      </c>
      <c r="L151" t="s">
        <v>2560</v>
      </c>
      <c r="N151" t="s">
        <v>2561</v>
      </c>
    </row>
    <row r="152" spans="1:14">
      <c r="A152" s="1109" t="str">
        <f t="shared" si="2"/>
        <v>NETWORK INFORMATION ; Table: Remote Autotransformer 1, Row 1</v>
      </c>
      <c r="B152" t="s">
        <v>2535</v>
      </c>
      <c r="C152" t="s">
        <v>2849</v>
      </c>
      <c r="D152" t="s">
        <v>2850</v>
      </c>
      <c r="E152" s="964"/>
      <c r="F152" t="s">
        <v>2851</v>
      </c>
      <c r="H152"/>
      <c r="J152"/>
      <c r="L152"/>
      <c r="N152"/>
    </row>
    <row r="153" spans="1:14">
      <c r="A153" s="1109" t="str">
        <f t="shared" si="2"/>
        <v>NETWORK INFORMATION ; Table: Remote Autotransformer 1, Row 1</v>
      </c>
      <c r="B153" t="s">
        <v>2535</v>
      </c>
      <c r="C153" t="s">
        <v>2849</v>
      </c>
      <c r="D153" t="s">
        <v>2852</v>
      </c>
      <c r="E153" s="964"/>
      <c r="F153" t="s">
        <v>2853</v>
      </c>
      <c r="H153"/>
      <c r="J153"/>
      <c r="L153"/>
      <c r="N153"/>
    </row>
    <row r="154" spans="1:14">
      <c r="A154" s="1109" t="str">
        <f t="shared" si="2"/>
        <v>NETWORK INFORMATION ; Table: Remote Autotransformer 2, Row 1</v>
      </c>
      <c r="B154" t="s">
        <v>2535</v>
      </c>
      <c r="C154" t="s">
        <v>2854</v>
      </c>
      <c r="D154" t="s">
        <v>2855</v>
      </c>
      <c r="E154" s="964"/>
      <c r="F154" t="s">
        <v>2851</v>
      </c>
      <c r="H154"/>
      <c r="J154"/>
      <c r="L154"/>
      <c r="N154"/>
    </row>
    <row r="155" spans="1:14">
      <c r="A155" s="1109" t="str">
        <f t="shared" si="2"/>
        <v>NETWORK INFORMATION ; Table: Remote Autotransformer 2, Row 1</v>
      </c>
      <c r="B155" t="s">
        <v>2535</v>
      </c>
      <c r="C155" t="s">
        <v>2854</v>
      </c>
      <c r="D155" t="s">
        <v>2856</v>
      </c>
      <c r="E155" s="964"/>
      <c r="F155" t="s">
        <v>2853</v>
      </c>
      <c r="H155"/>
      <c r="J155"/>
      <c r="L155"/>
      <c r="N155"/>
    </row>
    <row r="156" spans="1:14">
      <c r="A156" s="1109" t="str">
        <f t="shared" si="2"/>
        <v>NETWORK INFORMATION ; Table: Remote Autotransformer 3, Row 1</v>
      </c>
      <c r="B156" t="s">
        <v>2535</v>
      </c>
      <c r="C156" t="s">
        <v>2857</v>
      </c>
      <c r="D156" t="s">
        <v>2858</v>
      </c>
      <c r="E156" s="964"/>
      <c r="F156" t="s">
        <v>2851</v>
      </c>
      <c r="H156"/>
      <c r="J156"/>
      <c r="L156"/>
      <c r="N156"/>
    </row>
    <row r="157" spans="1:14">
      <c r="A157" s="1109" t="str">
        <f t="shared" si="2"/>
        <v>NETWORK INFORMATION ; Table: Remote Autotransformer 3, Row 1</v>
      </c>
      <c r="B157" t="s">
        <v>2535</v>
      </c>
      <c r="C157" t="s">
        <v>2857</v>
      </c>
      <c r="D157" t="s">
        <v>2859</v>
      </c>
      <c r="E157" s="964"/>
      <c r="F157" t="s">
        <v>2853</v>
      </c>
      <c r="H157"/>
      <c r="J157"/>
      <c r="L157"/>
      <c r="N157"/>
    </row>
    <row r="158" spans="1:14">
      <c r="A158" s="1109" t="str">
        <f t="shared" si="2"/>
        <v>NETWORK INFORMATION ; Table: Remote Autotransformer 4, Row 1</v>
      </c>
      <c r="B158" t="s">
        <v>2535</v>
      </c>
      <c r="C158" t="s">
        <v>2860</v>
      </c>
      <c r="D158" t="s">
        <v>2861</v>
      </c>
      <c r="F158" t="s">
        <v>2851</v>
      </c>
      <c r="H158"/>
      <c r="J158"/>
      <c r="L158"/>
      <c r="N158"/>
    </row>
    <row r="159" spans="1:14">
      <c r="A159" s="1109" t="str">
        <f t="shared" si="2"/>
        <v>NETWORK INFORMATION ; Table: Remote Autotransformer 4, Row 1</v>
      </c>
      <c r="B159" t="s">
        <v>2535</v>
      </c>
      <c r="C159" t="s">
        <v>2860</v>
      </c>
      <c r="D159" t="s">
        <v>2862</v>
      </c>
      <c r="F159" t="s">
        <v>2853</v>
      </c>
      <c r="H159"/>
      <c r="J159"/>
      <c r="L159"/>
      <c r="N159"/>
    </row>
    <row r="160" spans="1:14">
      <c r="A160" s="1109" t="str">
        <f t="shared" si="2"/>
        <v>NETWORK INFORMATION ; Table: Tap Power Transformer 1, Row 1</v>
      </c>
      <c r="B160" t="s">
        <v>2535</v>
      </c>
      <c r="C160" t="s">
        <v>2863</v>
      </c>
      <c r="D160" t="s">
        <v>2864</v>
      </c>
      <c r="E160" s="964"/>
      <c r="F160" t="s">
        <v>2851</v>
      </c>
      <c r="H160"/>
      <c r="J160"/>
      <c r="L160"/>
      <c r="N160"/>
    </row>
    <row r="161" spans="1:14">
      <c r="A161" s="1109" t="str">
        <f t="shared" si="2"/>
        <v>NETWORK INFORMATION ; Table: Tap Power Transformer 1, Row 1</v>
      </c>
      <c r="B161" t="s">
        <v>2535</v>
      </c>
      <c r="C161" t="s">
        <v>2863</v>
      </c>
      <c r="D161" t="s">
        <v>2865</v>
      </c>
      <c r="E161" s="964"/>
      <c r="F161" t="s">
        <v>2853</v>
      </c>
      <c r="H161"/>
      <c r="J161"/>
      <c r="L161"/>
      <c r="N161"/>
    </row>
    <row r="162" spans="1:14">
      <c r="A162" s="1109" t="str">
        <f t="shared" si="2"/>
        <v>NETWORK INFORMATION ; Table: Tap Power Transformer 2, Row 1</v>
      </c>
      <c r="B162" t="s">
        <v>2535</v>
      </c>
      <c r="C162" t="s">
        <v>2866</v>
      </c>
      <c r="D162" t="s">
        <v>2867</v>
      </c>
      <c r="E162" s="964"/>
      <c r="F162" t="s">
        <v>2851</v>
      </c>
      <c r="H162"/>
      <c r="J162"/>
      <c r="L162"/>
      <c r="N162"/>
    </row>
    <row r="163" spans="1:14">
      <c r="A163" s="1109" t="str">
        <f t="shared" si="2"/>
        <v>NETWORK INFORMATION ; Table: Tap Power Transformer 2, Row 1</v>
      </c>
      <c r="B163" t="s">
        <v>2535</v>
      </c>
      <c r="C163" t="s">
        <v>2866</v>
      </c>
      <c r="D163" t="s">
        <v>2868</v>
      </c>
      <c r="E163" s="964"/>
      <c r="F163" t="s">
        <v>2853</v>
      </c>
      <c r="H163"/>
      <c r="J163"/>
      <c r="L163"/>
      <c r="N163"/>
    </row>
    <row r="164" spans="1:14">
      <c r="A164" s="1109" t="str">
        <f t="shared" si="2"/>
        <v>NETWORK INFORMATION ; Table: Tap Power Transformer 3, Row 1</v>
      </c>
      <c r="B164" t="s">
        <v>2535</v>
      </c>
      <c r="C164" t="s">
        <v>2869</v>
      </c>
      <c r="D164" t="s">
        <v>2870</v>
      </c>
      <c r="F164" t="s">
        <v>2851</v>
      </c>
      <c r="H164"/>
      <c r="J164"/>
      <c r="L164"/>
      <c r="N164"/>
    </row>
    <row r="165" spans="1:14">
      <c r="A165" s="1109" t="str">
        <f t="shared" si="2"/>
        <v>NETWORK INFORMATION ; Table: Tap Power Transformer 3, Row 1</v>
      </c>
      <c r="B165" t="s">
        <v>2535</v>
      </c>
      <c r="C165" t="s">
        <v>2869</v>
      </c>
      <c r="D165" t="s">
        <v>2871</v>
      </c>
      <c r="F165" t="s">
        <v>2853</v>
      </c>
      <c r="H165"/>
      <c r="J165"/>
      <c r="L165"/>
      <c r="N165"/>
    </row>
    <row r="166" spans="1:14">
      <c r="A166" s="1109" t="str">
        <f t="shared" si="2"/>
        <v>NETWORK INFORMATION ; Table: Tap Power Transformer 4, Row 1</v>
      </c>
      <c r="B166" t="s">
        <v>2535</v>
      </c>
      <c r="C166" t="s">
        <v>2872</v>
      </c>
      <c r="D166" t="s">
        <v>2873</v>
      </c>
      <c r="F166" t="s">
        <v>2851</v>
      </c>
      <c r="H166"/>
      <c r="J166"/>
      <c r="L166"/>
      <c r="N166"/>
    </row>
    <row r="167" spans="1:14">
      <c r="A167" s="1109" t="str">
        <f t="shared" si="2"/>
        <v>NETWORK INFORMATION ; Table: Tap Power Transformer 4, Row 1</v>
      </c>
      <c r="B167" t="s">
        <v>2535</v>
      </c>
      <c r="C167" t="s">
        <v>2872</v>
      </c>
      <c r="D167" t="s">
        <v>2874</v>
      </c>
      <c r="F167" t="s">
        <v>2853</v>
      </c>
      <c r="H167"/>
      <c r="J167"/>
      <c r="L167"/>
      <c r="N167"/>
    </row>
    <row r="168" spans="1:14">
      <c r="A168" s="1109" t="str">
        <f t="shared" si="2"/>
        <v>NETWORK INFORMATION ; Table: Tap Power Transformer 5, Row 1</v>
      </c>
      <c r="B168" t="s">
        <v>2535</v>
      </c>
      <c r="C168" t="s">
        <v>2875</v>
      </c>
      <c r="D168" t="s">
        <v>2876</v>
      </c>
      <c r="F168" t="s">
        <v>2851</v>
      </c>
      <c r="H168"/>
      <c r="J168"/>
      <c r="L168"/>
      <c r="N168"/>
    </row>
    <row r="169" spans="1:14">
      <c r="A169" s="1109" t="str">
        <f t="shared" si="2"/>
        <v>NETWORK INFORMATION ; Table: Tap Power Transformer 5, Row 1</v>
      </c>
      <c r="B169" t="s">
        <v>2535</v>
      </c>
      <c r="C169" t="s">
        <v>2875</v>
      </c>
      <c r="D169" t="s">
        <v>2877</v>
      </c>
      <c r="F169" t="s">
        <v>2853</v>
      </c>
      <c r="H169"/>
      <c r="J169"/>
      <c r="L169"/>
      <c r="N169"/>
    </row>
    <row r="170" spans="1:14">
      <c r="A170" s="1109" t="str">
        <f t="shared" si="2"/>
        <v>NETWORK INFORMATION ; Table: Tap Power Transformer 6, Row 1</v>
      </c>
      <c r="B170" t="s">
        <v>2535</v>
      </c>
      <c r="C170" t="s">
        <v>2878</v>
      </c>
      <c r="D170" t="s">
        <v>2879</v>
      </c>
      <c r="F170" t="s">
        <v>2851</v>
      </c>
      <c r="H170"/>
      <c r="J170"/>
      <c r="L170"/>
      <c r="N170"/>
    </row>
    <row r="171" spans="1:14">
      <c r="A171" s="1109" t="str">
        <f t="shared" si="2"/>
        <v>NETWORK INFORMATION ; Table: Tap Power Transformer 6, Row 1</v>
      </c>
      <c r="B171" t="s">
        <v>2535</v>
      </c>
      <c r="C171" t="s">
        <v>2878</v>
      </c>
      <c r="D171" t="s">
        <v>2880</v>
      </c>
      <c r="F171" t="s">
        <v>2853</v>
      </c>
      <c r="H171"/>
      <c r="J171"/>
      <c r="L171"/>
      <c r="N171"/>
    </row>
    <row r="172" spans="1:14">
      <c r="A172" s="1109" t="str">
        <f t="shared" si="2"/>
        <v>NETWORK INFORMATION ; Table: Tap Power Transformer 7, Row 1</v>
      </c>
      <c r="B172" t="s">
        <v>2535</v>
      </c>
      <c r="C172" t="s">
        <v>2881</v>
      </c>
      <c r="D172" t="s">
        <v>2882</v>
      </c>
      <c r="F172" t="s">
        <v>2851</v>
      </c>
      <c r="H172"/>
      <c r="J172"/>
      <c r="L172"/>
      <c r="N172"/>
    </row>
    <row r="173" spans="1:14">
      <c r="A173" s="1109" t="str">
        <f t="shared" si="2"/>
        <v>NETWORK INFORMATION ; Table: Tap Power Transformer 7, Row 1</v>
      </c>
      <c r="B173" t="s">
        <v>2535</v>
      </c>
      <c r="C173" t="s">
        <v>2881</v>
      </c>
      <c r="D173" t="s">
        <v>2883</v>
      </c>
      <c r="F173" t="s">
        <v>2853</v>
      </c>
      <c r="H173"/>
      <c r="J173"/>
      <c r="L173"/>
      <c r="N173"/>
    </row>
    <row r="174" spans="1:14">
      <c r="A174" s="1109" t="str">
        <f t="shared" si="2"/>
        <v>NETWORK INFORMATION ; Table: Tap Power Transformer 8, Row 1</v>
      </c>
      <c r="B174" t="s">
        <v>2535</v>
      </c>
      <c r="C174" t="s">
        <v>2884</v>
      </c>
      <c r="D174" t="s">
        <v>2885</v>
      </c>
      <c r="F174" t="s">
        <v>2851</v>
      </c>
      <c r="H174"/>
      <c r="J174"/>
      <c r="L174"/>
      <c r="N174"/>
    </row>
    <row r="175" spans="1:14">
      <c r="A175" s="1109" t="str">
        <f t="shared" si="2"/>
        <v>NETWORK INFORMATION ; Table: Tap Power Transformer 8, Row 1</v>
      </c>
      <c r="B175" t="s">
        <v>2535</v>
      </c>
      <c r="C175" t="s">
        <v>2884</v>
      </c>
      <c r="D175" t="s">
        <v>2886</v>
      </c>
      <c r="F175" t="s">
        <v>2853</v>
      </c>
      <c r="H175"/>
      <c r="J175"/>
      <c r="L175"/>
      <c r="N175"/>
    </row>
    <row r="176" spans="1:14">
      <c r="A176" s="1109" t="str">
        <f t="shared" si="2"/>
        <v>FAULT ANALYSIS INFORMATION ; 3LG Phase A Value for Test 1 (Amps):</v>
      </c>
      <c r="B176" t="s">
        <v>2887</v>
      </c>
      <c r="C176" t="s">
        <v>2888</v>
      </c>
      <c r="D176" t="s">
        <v>2889</v>
      </c>
      <c r="E176" s="964"/>
      <c r="F176" t="s">
        <v>2548</v>
      </c>
      <c r="H176"/>
      <c r="J176"/>
      <c r="L176"/>
      <c r="N176"/>
    </row>
    <row r="177" spans="1:14">
      <c r="A177" s="1109" t="str">
        <f t="shared" si="2"/>
        <v>FAULT ANALYSIS INFORMATION ; 1LG Phase A Value for Test 1 (Amps):</v>
      </c>
      <c r="B177" t="s">
        <v>2887</v>
      </c>
      <c r="C177" t="s">
        <v>2890</v>
      </c>
      <c r="D177" t="s">
        <v>2891</v>
      </c>
      <c r="E177" s="964"/>
      <c r="F177" t="s">
        <v>2548</v>
      </c>
      <c r="H177"/>
      <c r="J177"/>
      <c r="L177"/>
      <c r="N177"/>
    </row>
    <row r="178" spans="1:14">
      <c r="A178" s="1109" t="str">
        <f t="shared" si="2"/>
        <v>FAULT ANALYSIS INFORMATION ; 3LG Phase A Value for Test 2 (Amps):</v>
      </c>
      <c r="B178" t="s">
        <v>2887</v>
      </c>
      <c r="C178" t="s">
        <v>2892</v>
      </c>
      <c r="D178" t="s">
        <v>2893</v>
      </c>
      <c r="E178" s="964"/>
      <c r="F178" t="s">
        <v>2548</v>
      </c>
      <c r="H178"/>
      <c r="J178"/>
      <c r="L178"/>
      <c r="N178"/>
    </row>
    <row r="179" spans="1:14">
      <c r="A179" s="1109" t="str">
        <f t="shared" si="2"/>
        <v>FAULT ANALYSIS INFORMATION ; 1LG Phase A Value for Test 2 (Amps):</v>
      </c>
      <c r="B179" t="s">
        <v>2887</v>
      </c>
      <c r="C179" t="s">
        <v>2894</v>
      </c>
      <c r="D179" t="s">
        <v>2895</v>
      </c>
      <c r="E179" s="964"/>
      <c r="F179" t="s">
        <v>2548</v>
      </c>
      <c r="H179"/>
      <c r="J179"/>
      <c r="L179"/>
      <c r="N179"/>
    </row>
    <row r="180" spans="1:14">
      <c r="A180" s="1109" t="str">
        <f t="shared" si="2"/>
        <v>FAULT ANALYSIS INFORMATION ; 3LG Phase A Value for Test 3 (Amps):</v>
      </c>
      <c r="B180" t="s">
        <v>2887</v>
      </c>
      <c r="C180" t="s">
        <v>2896</v>
      </c>
      <c r="D180" t="s">
        <v>2897</v>
      </c>
      <c r="E180" s="964"/>
      <c r="F180" t="s">
        <v>2548</v>
      </c>
      <c r="H180"/>
      <c r="J180"/>
      <c r="L180"/>
      <c r="N180"/>
    </row>
    <row r="181" spans="1:14">
      <c r="A181" s="1109" t="str">
        <f t="shared" si="2"/>
        <v>FAULT ANALYSIS INFORMATION ; 1LG Zero Sequence Value for Test 3 (Amps):</v>
      </c>
      <c r="B181" t="s">
        <v>2887</v>
      </c>
      <c r="C181" t="s">
        <v>2898</v>
      </c>
      <c r="D181" t="s">
        <v>2899</v>
      </c>
      <c r="E181" s="964"/>
      <c r="F181" t="s">
        <v>2548</v>
      </c>
      <c r="H181"/>
      <c r="J181"/>
      <c r="L181"/>
      <c r="N181"/>
    </row>
    <row r="182" spans="1:14">
      <c r="A182" s="1109" t="str">
        <f t="shared" si="2"/>
        <v>FAULT ANALYSIS INFORMATION ; L-L Phase B Value for Test 3 (Amps):</v>
      </c>
      <c r="B182" t="s">
        <v>2887</v>
      </c>
      <c r="C182" t="s">
        <v>2900</v>
      </c>
      <c r="D182" t="s">
        <v>2901</v>
      </c>
      <c r="E182" s="964"/>
      <c r="F182" t="s">
        <v>2548</v>
      </c>
      <c r="H182"/>
      <c r="J182"/>
      <c r="L182"/>
      <c r="N182"/>
    </row>
    <row r="183" spans="1:14">
      <c r="A183" s="1109" t="str">
        <f t="shared" si="2"/>
        <v>FAULT ANALYSIS INFORMATION ; 1LG Zero Sequence Value for Test 4 (Amps):</v>
      </c>
      <c r="B183" t="s">
        <v>2887</v>
      </c>
      <c r="C183" t="s">
        <v>2902</v>
      </c>
      <c r="D183" t="s">
        <v>2903</v>
      </c>
      <c r="E183" s="964"/>
      <c r="F183" t="s">
        <v>2548</v>
      </c>
      <c r="H183"/>
      <c r="J183"/>
      <c r="L183"/>
      <c r="N183"/>
    </row>
    <row r="184" spans="1:14">
      <c r="A184" s="1109" t="str">
        <f t="shared" si="2"/>
        <v>FAULT ANALYSIS INFORMATION ; 3LG Phase A Value for Test 5 (Amps):</v>
      </c>
      <c r="B184" t="s">
        <v>2887</v>
      </c>
      <c r="C184" t="s">
        <v>2904</v>
      </c>
      <c r="D184" t="s">
        <v>2905</v>
      </c>
      <c r="E184" s="964"/>
      <c r="F184" t="s">
        <v>2548</v>
      </c>
      <c r="H184"/>
      <c r="J184"/>
      <c r="L184"/>
      <c r="N184"/>
    </row>
    <row r="185" spans="1:14">
      <c r="A185" s="1109" t="str">
        <f t="shared" si="2"/>
        <v>FAULT ANALYSIS INFORMATION ; 1LG Phase A Value for Test 5 (Amps):</v>
      </c>
      <c r="B185" t="s">
        <v>2887</v>
      </c>
      <c r="C185" t="s">
        <v>2906</v>
      </c>
      <c r="D185" t="s">
        <v>2907</v>
      </c>
      <c r="E185" s="964"/>
      <c r="F185" t="s">
        <v>2548</v>
      </c>
      <c r="H185"/>
      <c r="J185"/>
      <c r="L185"/>
      <c r="N185"/>
    </row>
    <row r="186" spans="1:14">
      <c r="A186" s="1109" t="str">
        <f t="shared" si="2"/>
        <v>FAULT ANALYSIS INFORMATION ; L-L Phase B Value for Test 5 (Amps):</v>
      </c>
      <c r="B186" t="s">
        <v>2887</v>
      </c>
      <c r="C186" t="s">
        <v>2908</v>
      </c>
      <c r="D186" t="s">
        <v>2909</v>
      </c>
      <c r="E186" s="964"/>
      <c r="F186" t="s">
        <v>2548</v>
      </c>
      <c r="H186"/>
      <c r="J186"/>
      <c r="L186"/>
      <c r="N186"/>
    </row>
    <row r="187" spans="1:14">
      <c r="A187" s="1109" t="str">
        <f t="shared" si="2"/>
        <v>FAULT ANALYSIS INFORMATION ; Test 5 fault type generating minimum current:</v>
      </c>
      <c r="B187" t="s">
        <v>2887</v>
      </c>
      <c r="C187" t="s">
        <v>2910</v>
      </c>
      <c r="D187" t="s">
        <v>2911</v>
      </c>
      <c r="E187" s="964"/>
      <c r="F187" t="s">
        <v>2548</v>
      </c>
      <c r="H187"/>
      <c r="J187"/>
      <c r="L187"/>
      <c r="N187"/>
    </row>
    <row r="188" spans="1:14">
      <c r="A188" s="1109" t="str">
        <f t="shared" si="2"/>
        <v>FAULT ANALYSIS INFORMATION ; 1LG Zero Sequence Value for Test 5 (Amps):</v>
      </c>
      <c r="B188" t="s">
        <v>2887</v>
      </c>
      <c r="C188" t="s">
        <v>2912</v>
      </c>
      <c r="D188" t="s">
        <v>2913</v>
      </c>
      <c r="E188" s="964"/>
      <c r="F188" t="s">
        <v>2548</v>
      </c>
      <c r="H188"/>
      <c r="J188"/>
      <c r="L188"/>
      <c r="N188"/>
    </row>
    <row r="189" spans="1:14">
      <c r="A189" s="1109" t="str">
        <f t="shared" si="2"/>
        <v>FAULT ANALYSIS INFORMATION ; L-L Negative Sequence Value for Test 5 (Amps):</v>
      </c>
      <c r="B189" t="s">
        <v>2887</v>
      </c>
      <c r="C189" t="s">
        <v>2914</v>
      </c>
      <c r="D189" t="s">
        <v>2915</v>
      </c>
      <c r="E189" s="964"/>
      <c r="F189" t="s">
        <v>2548</v>
      </c>
      <c r="H189"/>
      <c r="J189"/>
      <c r="L189"/>
      <c r="N189"/>
    </row>
    <row r="190" spans="1:14">
      <c r="A190" s="1109" t="str">
        <f t="shared" si="2"/>
        <v>FAULT ANALYSIS INFORMATION ; 3LG Phase A Value for Test 6 (Amps):</v>
      </c>
      <c r="B190" t="s">
        <v>2887</v>
      </c>
      <c r="C190" t="s">
        <v>2916</v>
      </c>
      <c r="D190" t="s">
        <v>2917</v>
      </c>
      <c r="E190" s="964"/>
      <c r="F190" t="s">
        <v>2548</v>
      </c>
      <c r="H190"/>
      <c r="J190"/>
      <c r="L190"/>
      <c r="N190"/>
    </row>
    <row r="191" spans="1:14">
      <c r="A191" s="1109" t="str">
        <f t="shared" si="2"/>
        <v>FAULT ANALYSIS INFORMATION ; L-L Negative Sequence Value for Test 6 (Amps):</v>
      </c>
      <c r="B191" t="s">
        <v>2887</v>
      </c>
      <c r="C191" t="s">
        <v>2918</v>
      </c>
      <c r="D191" t="s">
        <v>2919</v>
      </c>
      <c r="E191" s="964"/>
      <c r="F191" t="s">
        <v>2548</v>
      </c>
      <c r="H191"/>
      <c r="J191"/>
      <c r="L191"/>
      <c r="N191"/>
    </row>
    <row r="192" spans="1:14">
      <c r="A192" s="1109" t="str">
        <f t="shared" si="2"/>
        <v>FAULT ANALYSIS INFORMATION ; 3LG Phase A Value for Test 7 (Amps):</v>
      </c>
      <c r="B192" t="s">
        <v>2887</v>
      </c>
      <c r="C192" t="s">
        <v>2920</v>
      </c>
      <c r="D192" t="s">
        <v>2921</v>
      </c>
      <c r="E192" s="964"/>
      <c r="F192" t="s">
        <v>2548</v>
      </c>
      <c r="H192"/>
      <c r="J192"/>
      <c r="L192"/>
      <c r="N192"/>
    </row>
    <row r="193" spans="1:14">
      <c r="A193" s="1109" t="str">
        <f t="shared" si="2"/>
        <v>FAULT ANALYSIS INFORMATION ; 1LG Phase A Value for Test 7 (Amps):</v>
      </c>
      <c r="B193" t="s">
        <v>2887</v>
      </c>
      <c r="C193" t="s">
        <v>2922</v>
      </c>
      <c r="D193" t="s">
        <v>2923</v>
      </c>
      <c r="E193" s="964"/>
      <c r="F193" t="s">
        <v>2548</v>
      </c>
      <c r="H193"/>
      <c r="J193"/>
      <c r="L193"/>
      <c r="N193"/>
    </row>
    <row r="194" spans="1:14">
      <c r="A194" s="1109" t="str">
        <f t="shared" ref="A194:A257" si="3">_xlfn.CONCAT(B194, " ; ", C194)</f>
        <v>FAULT ANALYSIS INFORMATION ; L-L Phase B Value for Test 7 (Amps):</v>
      </c>
      <c r="B194" t="s">
        <v>2887</v>
      </c>
      <c r="C194" t="s">
        <v>2924</v>
      </c>
      <c r="D194" t="s">
        <v>2925</v>
      </c>
      <c r="E194" s="964"/>
      <c r="F194" t="s">
        <v>2548</v>
      </c>
      <c r="H194"/>
      <c r="J194"/>
      <c r="L194"/>
      <c r="N194"/>
    </row>
    <row r="195" spans="1:14">
      <c r="A195" s="1109" t="str">
        <f t="shared" si="3"/>
        <v>FAULT ANALYSIS INFORMATION ; Test 7 fault type generating minimum current:</v>
      </c>
      <c r="B195" t="s">
        <v>2887</v>
      </c>
      <c r="C195" t="s">
        <v>2926</v>
      </c>
      <c r="D195" t="s">
        <v>2927</v>
      </c>
      <c r="E195" s="964"/>
      <c r="F195" t="s">
        <v>2548</v>
      </c>
      <c r="H195"/>
      <c r="J195"/>
      <c r="L195"/>
      <c r="N195"/>
    </row>
    <row r="196" spans="1:14">
      <c r="A196" s="1109" t="str">
        <f t="shared" si="3"/>
        <v>FAULT ANALYSIS INFORMATION ; L-L Negative Sequence Value for Test 7 (Amps):</v>
      </c>
      <c r="B196" t="s">
        <v>2887</v>
      </c>
      <c r="C196" t="s">
        <v>2928</v>
      </c>
      <c r="D196" t="s">
        <v>2929</v>
      </c>
      <c r="E196" s="964"/>
      <c r="F196" t="s">
        <v>2548</v>
      </c>
      <c r="H196"/>
      <c r="J196"/>
      <c r="L196"/>
      <c r="N196"/>
    </row>
    <row r="197" spans="1:14">
      <c r="A197" s="1109" t="str">
        <f t="shared" si="3"/>
        <v>FAULT ANALYSIS INFORMATION ; 1LG Zero Sequence Value for Test 8 (Amps):</v>
      </c>
      <c r="B197" t="s">
        <v>2887</v>
      </c>
      <c r="C197" t="s">
        <v>2930</v>
      </c>
      <c r="D197" t="s">
        <v>2931</v>
      </c>
      <c r="E197" s="964"/>
      <c r="F197" t="s">
        <v>2548</v>
      </c>
      <c r="H197"/>
      <c r="J197"/>
      <c r="L197"/>
      <c r="N197"/>
    </row>
    <row r="198" spans="1:14">
      <c r="A198" s="1109" t="str">
        <f t="shared" si="3"/>
        <v>FAULT ANALYSIS INFORMATION ; 3LG Phase A Value for Test 9 (Amps):</v>
      </c>
      <c r="B198" t="s">
        <v>2887</v>
      </c>
      <c r="C198" t="s">
        <v>2932</v>
      </c>
      <c r="D198" t="s">
        <v>2933</v>
      </c>
      <c r="E198" s="964"/>
      <c r="F198" t="s">
        <v>2548</v>
      </c>
      <c r="H198"/>
      <c r="J198"/>
      <c r="L198"/>
      <c r="N198"/>
    </row>
    <row r="199" spans="1:14">
      <c r="A199" s="1109" t="str">
        <f t="shared" si="3"/>
        <v>FAULT ANALYSIS INFORMATION ; L-L Phase B Value for Test 9 (Amps):</v>
      </c>
      <c r="B199" t="s">
        <v>2887</v>
      </c>
      <c r="C199" t="s">
        <v>2934</v>
      </c>
      <c r="D199" t="s">
        <v>2935</v>
      </c>
      <c r="E199" s="964"/>
      <c r="F199" t="s">
        <v>2548</v>
      </c>
      <c r="H199"/>
      <c r="J199"/>
      <c r="L199"/>
      <c r="N199"/>
    </row>
    <row r="200" spans="1:14">
      <c r="A200" s="1109" t="str">
        <f t="shared" si="3"/>
        <v>FAULT ANALYSIS INFORMATION ; L-L Negative Sequence Value for Test 9 (Amps):</v>
      </c>
      <c r="B200" t="s">
        <v>2887</v>
      </c>
      <c r="C200" t="s">
        <v>2936</v>
      </c>
      <c r="D200" t="s">
        <v>2937</v>
      </c>
      <c r="E200" s="964"/>
      <c r="F200" t="s">
        <v>2548</v>
      </c>
      <c r="H200"/>
      <c r="J200"/>
      <c r="L200"/>
      <c r="N200"/>
    </row>
    <row r="201" spans="1:14">
      <c r="A201" s="1109" t="str">
        <f t="shared" si="3"/>
        <v>FAULT ANALYSIS INFORMATION ; 1LG Zero Sequence Value for Test 9 (Amps):</v>
      </c>
      <c r="B201" t="s">
        <v>2887</v>
      </c>
      <c r="C201" t="s">
        <v>2938</v>
      </c>
      <c r="D201" t="s">
        <v>2939</v>
      </c>
      <c r="E201" s="964"/>
      <c r="F201" t="s">
        <v>2548</v>
      </c>
      <c r="H201"/>
      <c r="J201"/>
      <c r="L201"/>
      <c r="N201"/>
    </row>
    <row r="202" spans="1:14">
      <c r="A202" s="1109" t="str">
        <f t="shared" si="3"/>
        <v>FAULT ANALYSIS INFORMATION ; Remote 1 Bus 3LG Phase A Value for Test 9 (Amps):</v>
      </c>
      <c r="B202" t="s">
        <v>2887</v>
      </c>
      <c r="C202" t="s">
        <v>2940</v>
      </c>
      <c r="D202" t="s">
        <v>2941</v>
      </c>
      <c r="E202" s="964"/>
      <c r="F202" t="s">
        <v>2548</v>
      </c>
      <c r="H202"/>
      <c r="J202"/>
      <c r="L202"/>
      <c r="N202"/>
    </row>
    <row r="203" spans="1:14">
      <c r="A203" s="1109" t="str">
        <f t="shared" si="3"/>
        <v>FAULT ANALYSIS INFORMATION ; Remote 1 Bus L-L Phase B Value for Test 9 (Amps):</v>
      </c>
      <c r="B203" t="s">
        <v>2887</v>
      </c>
      <c r="C203" t="s">
        <v>2942</v>
      </c>
      <c r="D203" t="s">
        <v>2943</v>
      </c>
      <c r="E203" s="964"/>
      <c r="F203" t="s">
        <v>2548</v>
      </c>
      <c r="H203"/>
      <c r="J203"/>
      <c r="L203"/>
      <c r="N203"/>
    </row>
    <row r="204" spans="1:14">
      <c r="A204" s="1109" t="str">
        <f t="shared" si="3"/>
        <v>FAULT ANALYSIS INFORMATION ; Remote 1 Bus L-L Negative Sequence Value for Test 9 (Amps):</v>
      </c>
      <c r="B204" t="s">
        <v>2887</v>
      </c>
      <c r="C204" t="s">
        <v>2944</v>
      </c>
      <c r="D204" t="s">
        <v>2945</v>
      </c>
      <c r="E204" s="964"/>
      <c r="F204" t="s">
        <v>2548</v>
      </c>
      <c r="H204"/>
      <c r="J204"/>
      <c r="L204"/>
      <c r="N204"/>
    </row>
    <row r="205" spans="1:14">
      <c r="A205" s="1109" t="str">
        <f t="shared" si="3"/>
        <v>FAULT ANALYSIS INFORMATION ; Remote 1 Bus 1LG Zero Sequence Value for Test 9 (Amps):</v>
      </c>
      <c r="B205" t="s">
        <v>2887</v>
      </c>
      <c r="C205" t="s">
        <v>2946</v>
      </c>
      <c r="D205" t="s">
        <v>2947</v>
      </c>
      <c r="E205" s="964"/>
      <c r="F205" t="s">
        <v>2548</v>
      </c>
      <c r="H205"/>
      <c r="J205"/>
      <c r="L205"/>
      <c r="N205"/>
    </row>
    <row r="206" spans="1:14">
      <c r="A206" s="1109" t="str">
        <f t="shared" si="3"/>
        <v>FAULT ANALYSIS INFORMATION ; 3LG Phase A Value for Test 10 (Amps):</v>
      </c>
      <c r="B206" t="s">
        <v>2887</v>
      </c>
      <c r="C206" t="s">
        <v>2948</v>
      </c>
      <c r="D206" t="s">
        <v>2949</v>
      </c>
      <c r="E206" s="964"/>
      <c r="F206" t="s">
        <v>2548</v>
      </c>
      <c r="H206"/>
      <c r="J206"/>
      <c r="L206"/>
      <c r="N206"/>
    </row>
    <row r="207" spans="1:14">
      <c r="A207" s="1109" t="str">
        <f t="shared" si="3"/>
        <v>FAULT ANALYSIS INFORMATION ; L-L Phase B Value for Test 10 (Amps):</v>
      </c>
      <c r="B207" t="s">
        <v>2887</v>
      </c>
      <c r="C207" t="s">
        <v>2950</v>
      </c>
      <c r="D207" t="s">
        <v>2951</v>
      </c>
      <c r="E207" s="964"/>
      <c r="F207" t="s">
        <v>2548</v>
      </c>
      <c r="H207"/>
      <c r="J207"/>
      <c r="L207"/>
      <c r="N207"/>
    </row>
    <row r="208" spans="1:14">
      <c r="A208" s="1109" t="str">
        <f t="shared" si="3"/>
        <v>FAULT ANALYSIS INFORMATION ; L-L Negative Sequence Value for Test 10 (Amps):</v>
      </c>
      <c r="B208" t="s">
        <v>2887</v>
      </c>
      <c r="C208" t="s">
        <v>2952</v>
      </c>
      <c r="D208" t="s">
        <v>2953</v>
      </c>
      <c r="E208" s="964"/>
      <c r="F208" t="s">
        <v>2548</v>
      </c>
      <c r="H208"/>
      <c r="J208"/>
      <c r="L208"/>
      <c r="N208"/>
    </row>
    <row r="209" spans="1:14">
      <c r="A209" s="1109" t="str">
        <f t="shared" si="3"/>
        <v>FAULT ANALYSIS INFORMATION ; 1LG Zero Sequence Value for Test 10 (Amps):</v>
      </c>
      <c r="B209" t="s">
        <v>2887</v>
      </c>
      <c r="C209" t="s">
        <v>2954</v>
      </c>
      <c r="D209" t="s">
        <v>2955</v>
      </c>
      <c r="E209" s="964"/>
      <c r="F209" t="s">
        <v>2548</v>
      </c>
      <c r="H209"/>
      <c r="J209"/>
      <c r="L209"/>
      <c r="N209"/>
    </row>
    <row r="210" spans="1:14">
      <c r="A210" s="1109" t="str">
        <f t="shared" si="3"/>
        <v>FAULT ANALYSIS INFORMATION ; Remote 1 Bus 3LG Phase A Value for Test 10 (Amps):</v>
      </c>
      <c r="B210" t="s">
        <v>2887</v>
      </c>
      <c r="C210" t="s">
        <v>2956</v>
      </c>
      <c r="D210" t="s">
        <v>2957</v>
      </c>
      <c r="E210" s="964"/>
      <c r="F210" t="s">
        <v>2548</v>
      </c>
      <c r="H210"/>
      <c r="J210"/>
      <c r="L210"/>
      <c r="N210"/>
    </row>
    <row r="211" spans="1:14">
      <c r="A211" s="1109" t="str">
        <f t="shared" si="3"/>
        <v>FAULT ANALYSIS INFORMATION ; Remote 1 Bus L-L Phase B Value for Test 10 (Amps):</v>
      </c>
      <c r="B211" t="s">
        <v>2887</v>
      </c>
      <c r="C211" t="s">
        <v>2958</v>
      </c>
      <c r="D211" t="s">
        <v>2959</v>
      </c>
      <c r="E211" s="964"/>
      <c r="F211" t="s">
        <v>2548</v>
      </c>
      <c r="H211"/>
      <c r="J211"/>
      <c r="L211"/>
      <c r="N211"/>
    </row>
    <row r="212" spans="1:14">
      <c r="A212" s="1109" t="str">
        <f t="shared" si="3"/>
        <v>FAULT ANALYSIS INFORMATION ; Remote 1 Bus L-L Negative Sequence Value for Test 10 (Amps):</v>
      </c>
      <c r="B212" t="s">
        <v>2887</v>
      </c>
      <c r="C212" t="s">
        <v>2960</v>
      </c>
      <c r="D212" t="s">
        <v>2961</v>
      </c>
      <c r="E212" s="964"/>
      <c r="F212" t="s">
        <v>2548</v>
      </c>
      <c r="H212"/>
      <c r="J212"/>
      <c r="L212"/>
      <c r="N212"/>
    </row>
    <row r="213" spans="1:14">
      <c r="A213" s="1109" t="str">
        <f t="shared" si="3"/>
        <v>FAULT ANALYSIS INFORMATION ; Remote 1 Bus 1LG Zero Sequence Value for Test 10 (Amps):</v>
      </c>
      <c r="B213" t="s">
        <v>2887</v>
      </c>
      <c r="C213" t="s">
        <v>2962</v>
      </c>
      <c r="D213" t="s">
        <v>2963</v>
      </c>
      <c r="E213" s="964"/>
      <c r="F213" t="s">
        <v>2548</v>
      </c>
      <c r="H213"/>
      <c r="J213"/>
      <c r="L213"/>
      <c r="N213"/>
    </row>
    <row r="214" spans="1:14">
      <c r="A214" s="1109" t="str">
        <f t="shared" si="3"/>
        <v>FAULT ANALYSIS INFORMATION ; 3LG Phase A Value for Test 11 (Amps):</v>
      </c>
      <c r="B214" t="s">
        <v>2887</v>
      </c>
      <c r="C214" t="s">
        <v>2964</v>
      </c>
      <c r="D214" t="s">
        <v>2965</v>
      </c>
      <c r="E214" s="964"/>
      <c r="F214" t="s">
        <v>2548</v>
      </c>
      <c r="H214"/>
      <c r="J214"/>
      <c r="L214"/>
      <c r="N214"/>
    </row>
    <row r="215" spans="1:14">
      <c r="A215" s="1109" t="str">
        <f t="shared" si="3"/>
        <v>FAULT ANALYSIS INFORMATION ; L-L Phase B Value for Test 11 (Amps):</v>
      </c>
      <c r="B215" t="s">
        <v>2887</v>
      </c>
      <c r="C215" t="s">
        <v>2966</v>
      </c>
      <c r="D215" t="s">
        <v>2967</v>
      </c>
      <c r="E215" s="964"/>
      <c r="F215" t="s">
        <v>2548</v>
      </c>
      <c r="H215"/>
      <c r="J215"/>
      <c r="L215"/>
      <c r="N215"/>
    </row>
    <row r="216" spans="1:14">
      <c r="A216" s="1109" t="str">
        <f t="shared" si="3"/>
        <v>FAULT ANALYSIS INFORMATION ; L-L Negative Sequence Value for Test 11 (Amps):</v>
      </c>
      <c r="B216" t="s">
        <v>2887</v>
      </c>
      <c r="C216" t="s">
        <v>2968</v>
      </c>
      <c r="D216" t="s">
        <v>2969</v>
      </c>
      <c r="E216" s="964"/>
      <c r="F216" t="s">
        <v>2548</v>
      </c>
      <c r="H216"/>
      <c r="J216"/>
      <c r="L216"/>
      <c r="N216"/>
    </row>
    <row r="217" spans="1:14">
      <c r="A217" s="1109" t="str">
        <f t="shared" si="3"/>
        <v>FAULT ANALYSIS INFORMATION ; 1LG Zero Sequence Value for Test 11 (Amps):</v>
      </c>
      <c r="B217" t="s">
        <v>2887</v>
      </c>
      <c r="C217" t="s">
        <v>2970</v>
      </c>
      <c r="D217" t="s">
        <v>2971</v>
      </c>
      <c r="E217" s="964"/>
      <c r="F217" t="s">
        <v>2548</v>
      </c>
      <c r="H217"/>
      <c r="J217"/>
      <c r="L217"/>
      <c r="N217"/>
    </row>
    <row r="218" spans="1:14">
      <c r="A218" s="1109" t="str">
        <f t="shared" si="3"/>
        <v>FAULT ANALYSIS INFORMATION ; 3LG Phase A Value for Test 12 (Amps):</v>
      </c>
      <c r="B218" t="s">
        <v>2887</v>
      </c>
      <c r="C218" t="s">
        <v>2972</v>
      </c>
      <c r="D218" t="s">
        <v>2973</v>
      </c>
      <c r="E218" s="964"/>
      <c r="F218" t="s">
        <v>2548</v>
      </c>
      <c r="H218"/>
      <c r="J218"/>
      <c r="L218"/>
      <c r="N218"/>
    </row>
    <row r="219" spans="1:14">
      <c r="A219" s="1109" t="str">
        <f t="shared" si="3"/>
        <v>FAULT ANALYSIS INFORMATION ; L-L Phase B Value for Test 12 (Amps):</v>
      </c>
      <c r="B219" t="s">
        <v>2887</v>
      </c>
      <c r="C219" t="s">
        <v>2974</v>
      </c>
      <c r="D219" t="s">
        <v>2975</v>
      </c>
      <c r="E219" s="964"/>
      <c r="F219" t="s">
        <v>2548</v>
      </c>
      <c r="H219"/>
      <c r="J219"/>
      <c r="L219"/>
      <c r="N219"/>
    </row>
    <row r="220" spans="1:14">
      <c r="A220" s="1109" t="str">
        <f t="shared" si="3"/>
        <v>FAULT ANALYSIS INFORMATION ; 1LG Phase A Value for Test 12 (Amps):</v>
      </c>
      <c r="B220" t="s">
        <v>2887</v>
      </c>
      <c r="C220" t="s">
        <v>2976</v>
      </c>
      <c r="D220" t="s">
        <v>2977</v>
      </c>
      <c r="E220" s="964"/>
      <c r="F220" t="s">
        <v>2548</v>
      </c>
      <c r="H220"/>
      <c r="J220"/>
      <c r="L220"/>
      <c r="N220"/>
    </row>
    <row r="221" spans="1:14">
      <c r="A221" s="1109" t="str">
        <f t="shared" si="3"/>
        <v>FAULT ANALYSIS INFORMATION ; 3LG Phase A Value for Test 13 (Amps):</v>
      </c>
      <c r="B221" t="s">
        <v>2887</v>
      </c>
      <c r="C221" t="s">
        <v>2978</v>
      </c>
      <c r="D221" t="s">
        <v>2979</v>
      </c>
      <c r="E221" s="964"/>
      <c r="F221" t="s">
        <v>2548</v>
      </c>
      <c r="H221"/>
      <c r="J221"/>
      <c r="L221"/>
      <c r="N221"/>
    </row>
    <row r="222" spans="1:14">
      <c r="A222" s="1109" t="str">
        <f t="shared" si="3"/>
        <v>FAULT ANALYSIS INFORMATION ; L-L Phase B Value for Test 13 (Amps):</v>
      </c>
      <c r="B222" t="s">
        <v>2887</v>
      </c>
      <c r="C222" t="s">
        <v>2980</v>
      </c>
      <c r="D222" t="s">
        <v>2981</v>
      </c>
      <c r="E222" s="964"/>
      <c r="F222" t="s">
        <v>2548</v>
      </c>
      <c r="H222"/>
      <c r="J222"/>
      <c r="L222"/>
      <c r="N222"/>
    </row>
    <row r="223" spans="1:14">
      <c r="A223" s="1109" t="str">
        <f t="shared" si="3"/>
        <v>FAULT ANALYSIS INFORMATION ; 1LG Zero Sequence Value for Test 13 (Amps):</v>
      </c>
      <c r="B223" t="s">
        <v>2887</v>
      </c>
      <c r="C223" t="s">
        <v>2982</v>
      </c>
      <c r="D223" t="s">
        <v>2983</v>
      </c>
      <c r="E223" s="964"/>
      <c r="F223" t="s">
        <v>2548</v>
      </c>
      <c r="H223"/>
      <c r="J223"/>
      <c r="L223"/>
      <c r="N223"/>
    </row>
    <row r="224" spans="1:14">
      <c r="A224" s="1109" t="str">
        <f t="shared" si="3"/>
        <v>FAULT ANALYSIS INFORMATION ; 3LG Phase A Value for Test 14 (Amps):</v>
      </c>
      <c r="B224" t="s">
        <v>2887</v>
      </c>
      <c r="C224" t="s">
        <v>2984</v>
      </c>
      <c r="D224" t="s">
        <v>2979</v>
      </c>
      <c r="E224" s="964"/>
      <c r="F224" t="s">
        <v>2548</v>
      </c>
      <c r="H224"/>
      <c r="J224"/>
      <c r="L224"/>
      <c r="N224"/>
    </row>
    <row r="225" spans="1:14">
      <c r="A225" s="1109" t="str">
        <f t="shared" si="3"/>
        <v>FAULT ANALYSIS INFORMATION ; L-L Phase B Value for Test 14 (Amps):</v>
      </c>
      <c r="B225" t="s">
        <v>2887</v>
      </c>
      <c r="C225" t="s">
        <v>2985</v>
      </c>
      <c r="D225" t="s">
        <v>2981</v>
      </c>
      <c r="E225" s="964"/>
      <c r="F225" t="s">
        <v>2548</v>
      </c>
      <c r="H225"/>
      <c r="J225"/>
      <c r="L225"/>
      <c r="N225"/>
    </row>
    <row r="226" spans="1:14">
      <c r="A226" s="1109" t="str">
        <f t="shared" si="3"/>
        <v>FAULT ANALYSIS INFORMATION ; 1LG Zero Sequence Value for Test 14 (Amps):</v>
      </c>
      <c r="B226" t="s">
        <v>2887</v>
      </c>
      <c r="C226" t="s">
        <v>2986</v>
      </c>
      <c r="D226" t="s">
        <v>2983</v>
      </c>
      <c r="E226" s="964"/>
      <c r="F226" t="s">
        <v>2548</v>
      </c>
      <c r="H226"/>
      <c r="J226"/>
      <c r="L226"/>
      <c r="N226"/>
    </row>
    <row r="227" spans="1:14">
      <c r="A227" s="1109" t="str">
        <f t="shared" si="3"/>
        <v>X/R AND SIR INFORMATION ; R1:</v>
      </c>
      <c r="B227" t="s">
        <v>2987</v>
      </c>
      <c r="C227" t="s">
        <v>2988</v>
      </c>
      <c r="D227" t="s">
        <v>2989</v>
      </c>
      <c r="E227" s="964"/>
      <c r="F227" t="s">
        <v>2548</v>
      </c>
      <c r="H227"/>
      <c r="J227"/>
      <c r="L227"/>
      <c r="N227"/>
    </row>
    <row r="228" spans="1:14">
      <c r="A228" s="1109" t="str">
        <f t="shared" si="3"/>
        <v>X/R AND SIR INFORMATION ; X1:</v>
      </c>
      <c r="B228" t="s">
        <v>2987</v>
      </c>
      <c r="C228" t="s">
        <v>2990</v>
      </c>
      <c r="D228" t="s">
        <v>2991</v>
      </c>
      <c r="E228" s="964"/>
      <c r="F228" t="s">
        <v>2548</v>
      </c>
      <c r="H228"/>
      <c r="J228"/>
      <c r="L228"/>
      <c r="N228"/>
    </row>
    <row r="229" spans="1:14">
      <c r="A229" s="1109" t="str">
        <f t="shared" si="3"/>
        <v>X/R AND SIR INFORMATION ; R0:</v>
      </c>
      <c r="B229" t="s">
        <v>2987</v>
      </c>
      <c r="C229" t="s">
        <v>2992</v>
      </c>
      <c r="D229" t="s">
        <v>2993</v>
      </c>
      <c r="E229" s="964"/>
      <c r="F229" t="s">
        <v>2548</v>
      </c>
      <c r="H229"/>
      <c r="J229"/>
      <c r="L229"/>
      <c r="N229"/>
    </row>
    <row r="230" spans="1:14">
      <c r="A230" s="1109" t="str">
        <f t="shared" si="3"/>
        <v>X/R AND SIR INFORMATION ; X0:</v>
      </c>
      <c r="B230" t="s">
        <v>2987</v>
      </c>
      <c r="C230" t="s">
        <v>2994</v>
      </c>
      <c r="D230" t="s">
        <v>2995</v>
      </c>
      <c r="E230" s="964"/>
      <c r="F230" t="s">
        <v>2548</v>
      </c>
      <c r="H230"/>
      <c r="J230"/>
      <c r="L230"/>
      <c r="N230"/>
    </row>
    <row r="231" spans="1:14">
      <c r="A231" s="1109" t="str">
        <f t="shared" si="3"/>
        <v>X/R AND SIR INFORMATION ; R2:</v>
      </c>
      <c r="B231" t="s">
        <v>2987</v>
      </c>
      <c r="C231" t="s">
        <v>2996</v>
      </c>
      <c r="D231" t="s">
        <v>2997</v>
      </c>
      <c r="E231" s="964"/>
      <c r="F231" t="s">
        <v>2548</v>
      </c>
      <c r="H231"/>
      <c r="J231"/>
      <c r="L231"/>
      <c r="N231"/>
    </row>
    <row r="232" spans="1:14">
      <c r="A232" s="1109" t="str">
        <f t="shared" si="3"/>
        <v>X/R AND SIR INFORMATION ; X2:</v>
      </c>
      <c r="B232" t="s">
        <v>2987</v>
      </c>
      <c r="C232" t="s">
        <v>2998</v>
      </c>
      <c r="D232" t="s">
        <v>2999</v>
      </c>
      <c r="E232" s="964"/>
      <c r="F232" t="s">
        <v>2548</v>
      </c>
      <c r="H232"/>
      <c r="J232"/>
      <c r="L232"/>
      <c r="N232"/>
    </row>
    <row r="233" spans="1:14">
      <c r="A233" s="1109" t="str">
        <f t="shared" si="3"/>
        <v>X/R AND SIR INFORMATION ; X/R for TPH:</v>
      </c>
      <c r="B233" t="s">
        <v>2987</v>
      </c>
      <c r="C233" t="s">
        <v>3000</v>
      </c>
      <c r="D233" t="s">
        <v>3001</v>
      </c>
      <c r="E233" s="964"/>
      <c r="F233" t="s">
        <v>2548</v>
      </c>
      <c r="H233"/>
      <c r="J233"/>
      <c r="L233"/>
      <c r="N233"/>
    </row>
    <row r="234" spans="1:14">
      <c r="A234" s="1109" t="str">
        <f t="shared" si="3"/>
        <v>X/R AND SIR INFORMATION ; X/R for SLG:</v>
      </c>
      <c r="B234" t="s">
        <v>2987</v>
      </c>
      <c r="C234" t="s">
        <v>3002</v>
      </c>
      <c r="D234" t="s">
        <v>3003</v>
      </c>
      <c r="E234" s="964"/>
      <c r="F234" t="s">
        <v>2548</v>
      </c>
      <c r="H234"/>
      <c r="J234"/>
      <c r="L234"/>
      <c r="N234"/>
    </row>
    <row r="235" spans="1:14">
      <c r="A235" s="1109" t="str">
        <f t="shared" si="3"/>
        <v>X/R AND SIR INFORMATION ; Table: SIR SLG, Row 1</v>
      </c>
      <c r="B235" t="s">
        <v>2987</v>
      </c>
      <c r="C235" t="s">
        <v>3004</v>
      </c>
      <c r="D235" t="s">
        <v>3005</v>
      </c>
      <c r="E235" s="964"/>
      <c r="F235" t="s">
        <v>3006</v>
      </c>
      <c r="H235"/>
      <c r="J235"/>
      <c r="L235"/>
      <c r="N235"/>
    </row>
    <row r="236" spans="1:14">
      <c r="A236" s="1109" t="str">
        <f t="shared" si="3"/>
        <v>X/R AND SIR INFORMATION ; Table: SIR TPH, Row 1</v>
      </c>
      <c r="B236" t="s">
        <v>2987</v>
      </c>
      <c r="C236" t="s">
        <v>3007</v>
      </c>
      <c r="D236" t="s">
        <v>3008</v>
      </c>
      <c r="E236" s="964"/>
      <c r="F236" t="s">
        <v>3006</v>
      </c>
      <c r="H236"/>
      <c r="J236"/>
      <c r="L236"/>
      <c r="N236"/>
    </row>
    <row r="237" spans="1:14">
      <c r="A237" s="1109" t="str">
        <f t="shared" si="3"/>
        <v>IMPEDANCE ANALYSIS INFORMATION ; Table: Fault Impedance Test 1, Row 1</v>
      </c>
      <c r="B237" t="s">
        <v>3009</v>
      </c>
      <c r="C237" t="s">
        <v>3010</v>
      </c>
      <c r="D237" t="s">
        <v>3011</v>
      </c>
      <c r="E237" s="964"/>
      <c r="F237" t="s">
        <v>3012</v>
      </c>
      <c r="H237" t="s">
        <v>3013</v>
      </c>
      <c r="J237" s="1037" t="s">
        <v>3014</v>
      </c>
      <c r="L237" s="1120" t="s">
        <v>3015</v>
      </c>
      <c r="N237"/>
    </row>
    <row r="238" spans="1:14">
      <c r="A238" s="1109" t="str">
        <f t="shared" si="3"/>
        <v>IMPEDANCE ANALYSIS INFORMATION ; Table: Fault Impedance Test 1, Row 2</v>
      </c>
      <c r="B238" t="s">
        <v>3009</v>
      </c>
      <c r="C238" t="s">
        <v>3016</v>
      </c>
      <c r="D238" t="s">
        <v>3017</v>
      </c>
      <c r="E238" s="964"/>
      <c r="F238" t="s">
        <v>3012</v>
      </c>
      <c r="H238" t="s">
        <v>3013</v>
      </c>
      <c r="J238" s="1037" t="s">
        <v>3014</v>
      </c>
      <c r="L238" s="1120" t="s">
        <v>3015</v>
      </c>
      <c r="N238"/>
    </row>
    <row r="239" spans="1:14">
      <c r="A239" s="1109" t="str">
        <f t="shared" si="3"/>
        <v>IMPEDANCE ANALYSIS INFORMATION ; Table: Fault Impedance Test 1, Row 3</v>
      </c>
      <c r="B239" t="s">
        <v>3009</v>
      </c>
      <c r="C239" t="s">
        <v>3018</v>
      </c>
      <c r="D239" t="s">
        <v>3019</v>
      </c>
      <c r="E239" s="964"/>
      <c r="F239" t="s">
        <v>3012</v>
      </c>
      <c r="H239" t="s">
        <v>3013</v>
      </c>
      <c r="J239" s="1037" t="s">
        <v>3014</v>
      </c>
      <c r="L239" s="1120" t="s">
        <v>3015</v>
      </c>
      <c r="N239"/>
    </row>
    <row r="240" spans="1:14">
      <c r="A240" s="1109" t="str">
        <f t="shared" si="3"/>
        <v>IMPEDANCE ANALYSIS INFORMATION ; Table: Fault Impedance Test 1, Row 4</v>
      </c>
      <c r="B240" t="s">
        <v>3009</v>
      </c>
      <c r="C240" t="s">
        <v>3020</v>
      </c>
      <c r="D240" t="s">
        <v>3021</v>
      </c>
      <c r="E240" s="964"/>
      <c r="F240" t="s">
        <v>3012</v>
      </c>
      <c r="H240" t="s">
        <v>3013</v>
      </c>
      <c r="J240" s="1037" t="s">
        <v>3014</v>
      </c>
      <c r="L240" s="1120" t="s">
        <v>3015</v>
      </c>
      <c r="N240"/>
    </row>
    <row r="241" spans="1:14">
      <c r="A241" s="1109" t="str">
        <f t="shared" si="3"/>
        <v>IMPEDANCE ANALYSIS INFORMATION ; Table: Fault Impedance Test 1, Row 5</v>
      </c>
      <c r="B241" t="s">
        <v>3009</v>
      </c>
      <c r="C241" t="s">
        <v>3022</v>
      </c>
      <c r="D241" t="s">
        <v>3023</v>
      </c>
      <c r="E241" s="964"/>
      <c r="F241" t="s">
        <v>3012</v>
      </c>
      <c r="H241" t="s">
        <v>3013</v>
      </c>
      <c r="J241" s="1037" t="s">
        <v>3014</v>
      </c>
      <c r="L241" s="1120" t="s">
        <v>3015</v>
      </c>
      <c r="N241"/>
    </row>
    <row r="242" spans="1:14">
      <c r="A242" s="1109" t="str">
        <f t="shared" si="3"/>
        <v>IMPEDANCE ANALYSIS INFORMATION ; Table: Fault Impedance Test 1, Row 6</v>
      </c>
      <c r="B242" t="s">
        <v>3009</v>
      </c>
      <c r="C242" t="s">
        <v>3024</v>
      </c>
      <c r="D242" t="s">
        <v>3025</v>
      </c>
      <c r="E242" s="964"/>
      <c r="F242" t="s">
        <v>3012</v>
      </c>
      <c r="H242" t="s">
        <v>3013</v>
      </c>
      <c r="J242" s="1037" t="s">
        <v>3014</v>
      </c>
      <c r="L242" s="1120" t="s">
        <v>3015</v>
      </c>
      <c r="N242"/>
    </row>
    <row r="243" spans="1:14">
      <c r="A243" s="1109" t="str">
        <f t="shared" si="3"/>
        <v>IMPEDANCE ANALYSIS INFORMATION ; Table: Fault Impedance Test 1, Row 7</v>
      </c>
      <c r="B243" t="s">
        <v>3009</v>
      </c>
      <c r="C243" t="s">
        <v>3026</v>
      </c>
      <c r="D243" t="s">
        <v>3027</v>
      </c>
      <c r="E243" s="964"/>
      <c r="F243" t="s">
        <v>3012</v>
      </c>
      <c r="H243" t="s">
        <v>3013</v>
      </c>
      <c r="J243" s="1037" t="s">
        <v>3014</v>
      </c>
      <c r="L243" s="1120" t="s">
        <v>3015</v>
      </c>
      <c r="N243"/>
    </row>
    <row r="244" spans="1:14">
      <c r="A244" s="1109" t="str">
        <f t="shared" si="3"/>
        <v>IMPEDANCE ANALYSIS INFORMATION ; Table: Fault Impedance Test 1, Row 8</v>
      </c>
      <c r="B244" t="s">
        <v>3009</v>
      </c>
      <c r="C244" t="s">
        <v>3028</v>
      </c>
      <c r="D244" t="s">
        <v>3029</v>
      </c>
      <c r="E244" s="964"/>
      <c r="F244" t="s">
        <v>3012</v>
      </c>
      <c r="H244" t="s">
        <v>3013</v>
      </c>
      <c r="J244" s="1037" t="s">
        <v>3014</v>
      </c>
      <c r="L244" s="1120" t="s">
        <v>3015</v>
      </c>
      <c r="N244"/>
    </row>
    <row r="245" spans="1:14">
      <c r="A245" s="1109" t="str">
        <f t="shared" si="3"/>
        <v>IMPEDANCE ANALYSIS INFORMATION ; Table: Fault Impedance Test 1, Row 9</v>
      </c>
      <c r="B245" t="s">
        <v>3009</v>
      </c>
      <c r="C245" t="s">
        <v>3030</v>
      </c>
      <c r="D245" t="s">
        <v>3031</v>
      </c>
      <c r="E245" s="964"/>
      <c r="F245" t="s">
        <v>3012</v>
      </c>
      <c r="H245" t="s">
        <v>3013</v>
      </c>
      <c r="J245" s="1037" t="s">
        <v>3014</v>
      </c>
      <c r="L245" s="1120" t="s">
        <v>3015</v>
      </c>
      <c r="N245"/>
    </row>
    <row r="246" spans="1:14">
      <c r="A246" s="1109" t="str">
        <f t="shared" si="3"/>
        <v>IMPEDANCE ANALYSIS INFORMATION ; Table: Fault Impedance Test 1, Row 10</v>
      </c>
      <c r="B246" t="s">
        <v>3009</v>
      </c>
      <c r="C246" t="s">
        <v>3032</v>
      </c>
      <c r="D246" t="s">
        <v>3033</v>
      </c>
      <c r="E246" s="964"/>
      <c r="F246" t="s">
        <v>3012</v>
      </c>
      <c r="H246" t="s">
        <v>3013</v>
      </c>
      <c r="J246" s="1037" t="s">
        <v>3014</v>
      </c>
      <c r="L246" s="1120" t="s">
        <v>3015</v>
      </c>
      <c r="N246"/>
    </row>
    <row r="247" spans="1:14">
      <c r="A247" s="1109" t="str">
        <f t="shared" si="3"/>
        <v>IMPEDANCE ANALYSIS INFORMATION ; Table: Fault Impedance Test 1, Row 11</v>
      </c>
      <c r="B247" t="s">
        <v>3009</v>
      </c>
      <c r="C247" t="s">
        <v>3034</v>
      </c>
      <c r="D247" t="s">
        <v>3035</v>
      </c>
      <c r="E247" s="1038"/>
      <c r="F247" t="s">
        <v>3012</v>
      </c>
      <c r="H247" t="s">
        <v>3013</v>
      </c>
      <c r="J247" s="1037" t="s">
        <v>3014</v>
      </c>
      <c r="L247" s="1120" t="s">
        <v>3015</v>
      </c>
      <c r="N247"/>
    </row>
    <row r="248" spans="1:14">
      <c r="A248" s="1109" t="str">
        <f t="shared" si="3"/>
        <v>IMPEDANCE ANALYSIS INFORMATION ; Table: Fault Impedance Test 1, Row 12</v>
      </c>
      <c r="B248" t="s">
        <v>3009</v>
      </c>
      <c r="C248" t="s">
        <v>3036</v>
      </c>
      <c r="D248" t="s">
        <v>3037</v>
      </c>
      <c r="E248" s="1038"/>
      <c r="F248" t="s">
        <v>3012</v>
      </c>
      <c r="H248" t="s">
        <v>3013</v>
      </c>
      <c r="J248" s="1037" t="s">
        <v>3014</v>
      </c>
      <c r="L248" s="1120" t="s">
        <v>3015</v>
      </c>
      <c r="N248"/>
    </row>
    <row r="249" spans="1:14">
      <c r="A249" s="1109" t="str">
        <f t="shared" si="3"/>
        <v>IMPEDANCE ANALYSIS INFORMATION ; Table: Fault Impedance Test 2, Row 1</v>
      </c>
      <c r="B249" t="s">
        <v>3009</v>
      </c>
      <c r="C249" t="s">
        <v>3038</v>
      </c>
      <c r="D249" t="s">
        <v>3039</v>
      </c>
      <c r="E249" s="964"/>
      <c r="F249" t="s">
        <v>3012</v>
      </c>
      <c r="H249" t="s">
        <v>3013</v>
      </c>
      <c r="J249" s="1037" t="s">
        <v>3014</v>
      </c>
      <c r="L249" s="1120" t="s">
        <v>3015</v>
      </c>
      <c r="N249"/>
    </row>
    <row r="250" spans="1:14">
      <c r="A250" s="1109" t="str">
        <f t="shared" si="3"/>
        <v>IMPEDANCE ANALYSIS INFORMATION ; Table: Fault Impedance Test 2, Row 2</v>
      </c>
      <c r="B250" t="s">
        <v>3009</v>
      </c>
      <c r="C250" t="s">
        <v>3040</v>
      </c>
      <c r="D250" t="s">
        <v>3041</v>
      </c>
      <c r="E250" s="964"/>
      <c r="F250" t="s">
        <v>3012</v>
      </c>
      <c r="H250" t="s">
        <v>3013</v>
      </c>
      <c r="J250" s="1037" t="s">
        <v>3014</v>
      </c>
      <c r="L250" s="1120" t="s">
        <v>3015</v>
      </c>
      <c r="N250"/>
    </row>
    <row r="251" spans="1:14">
      <c r="A251" s="1109" t="str">
        <f t="shared" si="3"/>
        <v>IMPEDANCE ANALYSIS INFORMATION ; Table: Fault Impedance Test 2, Row 3</v>
      </c>
      <c r="B251" t="s">
        <v>3009</v>
      </c>
      <c r="C251" t="s">
        <v>3042</v>
      </c>
      <c r="D251" t="s">
        <v>3043</v>
      </c>
      <c r="E251" s="964"/>
      <c r="F251" t="s">
        <v>3012</v>
      </c>
      <c r="H251" t="s">
        <v>3013</v>
      </c>
      <c r="J251" s="1037" t="s">
        <v>3014</v>
      </c>
      <c r="L251" s="1120" t="s">
        <v>3015</v>
      </c>
      <c r="N251"/>
    </row>
    <row r="252" spans="1:14">
      <c r="A252" s="1109" t="str">
        <f t="shared" si="3"/>
        <v>IMPEDANCE ANALYSIS INFORMATION ; Table: Fault Impedance Test 2, Row 4</v>
      </c>
      <c r="B252" t="s">
        <v>3009</v>
      </c>
      <c r="C252" t="s">
        <v>3044</v>
      </c>
      <c r="D252" t="s">
        <v>3045</v>
      </c>
      <c r="E252" s="964"/>
      <c r="F252" t="s">
        <v>3012</v>
      </c>
      <c r="H252" t="s">
        <v>3013</v>
      </c>
      <c r="J252" s="1037" t="s">
        <v>3014</v>
      </c>
      <c r="L252" s="1120" t="s">
        <v>3015</v>
      </c>
      <c r="N252"/>
    </row>
    <row r="253" spans="1:14">
      <c r="A253" s="1109" t="str">
        <f t="shared" si="3"/>
        <v>IMPEDANCE ANALYSIS INFORMATION ; Table: Fault Impedance Test 2, Row 5</v>
      </c>
      <c r="B253" t="s">
        <v>3009</v>
      </c>
      <c r="C253" t="s">
        <v>3046</v>
      </c>
      <c r="D253" t="s">
        <v>3047</v>
      </c>
      <c r="E253" s="1038"/>
      <c r="F253" t="s">
        <v>3012</v>
      </c>
      <c r="H253" t="s">
        <v>3013</v>
      </c>
      <c r="J253" s="1037" t="s">
        <v>3014</v>
      </c>
      <c r="L253" s="1120" t="s">
        <v>3015</v>
      </c>
      <c r="N253"/>
    </row>
    <row r="254" spans="1:14">
      <c r="A254" s="1109" t="str">
        <f t="shared" si="3"/>
        <v>IMPEDANCE ANALYSIS INFORMATION ; Table: Fault Impedance Test 2, Row 6</v>
      </c>
      <c r="B254" t="s">
        <v>3009</v>
      </c>
      <c r="C254" t="s">
        <v>3048</v>
      </c>
      <c r="D254" t="s">
        <v>3049</v>
      </c>
      <c r="E254" s="1038"/>
      <c r="F254" t="s">
        <v>3012</v>
      </c>
      <c r="H254" t="s">
        <v>3013</v>
      </c>
      <c r="J254" s="1037" t="s">
        <v>3014</v>
      </c>
      <c r="L254" s="1120" t="s">
        <v>3015</v>
      </c>
      <c r="N254"/>
    </row>
    <row r="255" spans="1:14">
      <c r="A255" s="1109" t="str">
        <f t="shared" si="3"/>
        <v>IMPEDANCE ANALYSIS INFORMATION ; Table: Fault Impedance Test 2, Row 7</v>
      </c>
      <c r="B255" t="s">
        <v>3009</v>
      </c>
      <c r="C255" t="s">
        <v>3050</v>
      </c>
      <c r="D255" t="s">
        <v>3051</v>
      </c>
      <c r="E255" s="1038"/>
      <c r="F255" t="s">
        <v>3012</v>
      </c>
      <c r="H255" t="s">
        <v>3013</v>
      </c>
      <c r="J255" s="1037" t="s">
        <v>3014</v>
      </c>
      <c r="L255" s="1120" t="s">
        <v>3015</v>
      </c>
      <c r="N255"/>
    </row>
    <row r="256" spans="1:14">
      <c r="A256" s="1109" t="str">
        <f t="shared" si="3"/>
        <v>IMPEDANCE ANALYSIS INFORMATION ; Table: Fault Impedance Test 2, Row 8</v>
      </c>
      <c r="B256" t="s">
        <v>3009</v>
      </c>
      <c r="C256" t="s">
        <v>3052</v>
      </c>
      <c r="D256" t="s">
        <v>3053</v>
      </c>
      <c r="E256" s="1038"/>
      <c r="F256" t="s">
        <v>3012</v>
      </c>
      <c r="H256" t="s">
        <v>3013</v>
      </c>
      <c r="J256" s="1037" t="s">
        <v>3014</v>
      </c>
      <c r="L256" s="1120" t="s">
        <v>3015</v>
      </c>
      <c r="N256"/>
    </row>
    <row r="257" spans="1:14">
      <c r="A257" s="1109" t="str">
        <f t="shared" si="3"/>
        <v>IMPEDANCE ANALYSIS INFORMATION ; 80% min apparent impedance value for Test 3 (Magnitude):</v>
      </c>
      <c r="B257" t="s">
        <v>3009</v>
      </c>
      <c r="C257" t="s">
        <v>3054</v>
      </c>
      <c r="D257" t="s">
        <v>3055</v>
      </c>
      <c r="E257" s="964"/>
      <c r="F257" t="s">
        <v>2548</v>
      </c>
      <c r="H257"/>
      <c r="J257"/>
      <c r="L257"/>
      <c r="N257"/>
    </row>
    <row r="258" spans="1:14">
      <c r="A258" s="1109" t="str">
        <f t="shared" ref="A258:A321" si="4">_xlfn.CONCAT(B258, " ; ", C258)</f>
        <v>IMPEDANCE ANALYSIS INFORMATION ; 80% max apparent impedance value for Test 3 (Magnitude):</v>
      </c>
      <c r="B258" t="s">
        <v>3009</v>
      </c>
      <c r="C258" t="s">
        <v>3056</v>
      </c>
      <c r="D258" t="s">
        <v>3057</v>
      </c>
      <c r="E258" s="964"/>
      <c r="F258" t="s">
        <v>2548</v>
      </c>
      <c r="H258"/>
      <c r="J258"/>
      <c r="L258"/>
      <c r="N258"/>
    </row>
    <row r="259" spans="1:14">
      <c r="A259" s="1109" t="str">
        <f t="shared" si="4"/>
        <v>IMPEDANCE ANALYSIS INFORMATION ; 120% min apparent impedance value for Test 4 (Magnitude):</v>
      </c>
      <c r="B259" t="s">
        <v>3009</v>
      </c>
      <c r="C259" t="s">
        <v>3058</v>
      </c>
      <c r="D259" t="s">
        <v>3059</v>
      </c>
      <c r="E259" s="964"/>
      <c r="F259" t="s">
        <v>2548</v>
      </c>
      <c r="H259"/>
      <c r="J259"/>
      <c r="L259"/>
      <c r="N259"/>
    </row>
    <row r="260" spans="1:14">
      <c r="A260" s="1109" t="str">
        <f t="shared" si="4"/>
        <v>IMPEDANCE ANALYSIS INFORMATION ; 120% max apparent impedance value for Test 4 (Magnitude):</v>
      </c>
      <c r="B260" t="s">
        <v>3009</v>
      </c>
      <c r="C260" t="s">
        <v>3060</v>
      </c>
      <c r="D260" t="s">
        <v>3061</v>
      </c>
      <c r="E260" s="964"/>
      <c r="F260" t="s">
        <v>2548</v>
      </c>
      <c r="H260"/>
      <c r="J260"/>
      <c r="L260"/>
      <c r="N260"/>
    </row>
    <row r="261" spans="1:14">
      <c r="A261" s="1109" t="str">
        <f t="shared" si="4"/>
        <v>IMPEDANCE ANALYSIS INFORMATION ; min apparent impedance value for Test 5 (Magnitude):</v>
      </c>
      <c r="B261" t="s">
        <v>3009</v>
      </c>
      <c r="C261" t="s">
        <v>3062</v>
      </c>
      <c r="D261" t="s">
        <v>3063</v>
      </c>
      <c r="E261" s="964"/>
      <c r="F261" t="s">
        <v>2548</v>
      </c>
      <c r="H261"/>
      <c r="J261"/>
      <c r="L261"/>
      <c r="N261"/>
    </row>
    <row r="262" spans="1:14">
      <c r="A262" s="1109" t="str">
        <f t="shared" si="4"/>
        <v>IMPEDANCE ANALYSIS INFORMATION ; max apparent impedance value for Test 5 (Magnitude):</v>
      </c>
      <c r="B262" t="s">
        <v>3009</v>
      </c>
      <c r="C262" t="s">
        <v>3064</v>
      </c>
      <c r="D262" t="s">
        <v>3065</v>
      </c>
      <c r="E262" s="964"/>
      <c r="F262" t="s">
        <v>2548</v>
      </c>
      <c r="H262"/>
      <c r="J262"/>
      <c r="L262"/>
      <c r="N262"/>
    </row>
    <row r="263" spans="1:14">
      <c r="A263" s="1109" t="str">
        <f t="shared" si="4"/>
        <v>IMPEDANCE ANALYSIS INFORMATION ; 120% min apparent impedance value for Test 6 (Magnitude):</v>
      </c>
      <c r="B263" t="s">
        <v>3009</v>
      </c>
      <c r="C263" t="s">
        <v>3066</v>
      </c>
      <c r="D263" t="s">
        <v>3067</v>
      </c>
      <c r="E263" s="964"/>
      <c r="F263" t="s">
        <v>2548</v>
      </c>
      <c r="H263"/>
      <c r="J263"/>
      <c r="L263"/>
      <c r="N263"/>
    </row>
    <row r="264" spans="1:14">
      <c r="A264" s="1109" t="str">
        <f t="shared" si="4"/>
        <v>IMPEDANCE ANALYSIS INFORMATION ; 120% max apparent impedance value for Test 6 (Magnitude):</v>
      </c>
      <c r="B264" t="s">
        <v>3009</v>
      </c>
      <c r="C264" t="s">
        <v>3068</v>
      </c>
      <c r="D264" t="s">
        <v>3069</v>
      </c>
      <c r="E264" s="964"/>
      <c r="F264" t="s">
        <v>2548</v>
      </c>
      <c r="H264"/>
      <c r="J264"/>
      <c r="L264"/>
      <c r="N264"/>
    </row>
    <row r="265" spans="1:14">
      <c r="A265" s="1109" t="str">
        <f t="shared" si="4"/>
        <v>IMPEDANCE ANALYSIS INFORMATION ; 200% min apparent impedance value for Test 7 (Magnitude):</v>
      </c>
      <c r="B265" t="s">
        <v>3009</v>
      </c>
      <c r="C265" t="s">
        <v>3070</v>
      </c>
      <c r="D265" t="s">
        <v>3071</v>
      </c>
      <c r="E265" s="964"/>
      <c r="F265" t="s">
        <v>2548</v>
      </c>
      <c r="H265"/>
      <c r="J265"/>
      <c r="L265"/>
      <c r="N265"/>
    </row>
    <row r="266" spans="1:14">
      <c r="A266" s="1109" t="str">
        <f t="shared" si="4"/>
        <v>IMPEDANCE ANALYSIS INFORMATION ; 200% max apparent impedance value for Test 7 (Magnitude):</v>
      </c>
      <c r="B266" t="s">
        <v>3009</v>
      </c>
      <c r="C266" t="s">
        <v>3072</v>
      </c>
      <c r="D266" t="s">
        <v>3073</v>
      </c>
      <c r="E266" s="964"/>
      <c r="F266" t="s">
        <v>2548</v>
      </c>
      <c r="H266"/>
      <c r="J266"/>
      <c r="L266"/>
      <c r="N266"/>
    </row>
    <row r="267" spans="1:14">
      <c r="A267" s="1109" t="str">
        <f t="shared" si="4"/>
        <v>IMPEDANCE ANALYSIS INFORMATION ; 120% min apparent impedance value for Test 8 (Magnitude):</v>
      </c>
      <c r="B267" t="s">
        <v>3009</v>
      </c>
      <c r="C267" t="s">
        <v>3074</v>
      </c>
      <c r="D267" t="s">
        <v>3075</v>
      </c>
      <c r="E267" s="964"/>
      <c r="F267" t="s">
        <v>2548</v>
      </c>
      <c r="H267"/>
      <c r="J267"/>
      <c r="L267"/>
      <c r="N267"/>
    </row>
    <row r="268" spans="1:14">
      <c r="A268" s="1109" t="str">
        <f t="shared" si="4"/>
        <v>IMPEDANCE ANALYSIS INFORMATION ; 120% max apparent impedance value for Test 8 (Magnitude):</v>
      </c>
      <c r="B268" t="s">
        <v>3009</v>
      </c>
      <c r="C268" t="s">
        <v>3076</v>
      </c>
      <c r="D268" t="s">
        <v>3077</v>
      </c>
      <c r="E268" s="964"/>
      <c r="F268" t="s">
        <v>2548</v>
      </c>
      <c r="H268"/>
      <c r="J268"/>
      <c r="L268"/>
      <c r="N268"/>
    </row>
    <row r="269" spans="1:14">
      <c r="A269" s="1109" t="str">
        <f t="shared" si="4"/>
        <v>IMPEDANCE ANALYSIS INFORMATION ; 200% min apparent impedance value for Test 9 (Magnitude):</v>
      </c>
      <c r="B269" t="s">
        <v>3009</v>
      </c>
      <c r="C269" t="s">
        <v>3078</v>
      </c>
      <c r="D269" t="s">
        <v>3079</v>
      </c>
      <c r="E269" s="964"/>
      <c r="F269" t="s">
        <v>2548</v>
      </c>
      <c r="H269"/>
      <c r="J269"/>
      <c r="L269"/>
      <c r="N269"/>
    </row>
    <row r="270" spans="1:14">
      <c r="A270" s="1109" t="str">
        <f t="shared" si="4"/>
        <v>IMPEDANCE ANALYSIS INFORMATION ; 200% max apparent impedance value for Test 9 (Magnitude):</v>
      </c>
      <c r="B270" t="s">
        <v>3009</v>
      </c>
      <c r="C270" t="s">
        <v>3080</v>
      </c>
      <c r="D270" t="s">
        <v>3081</v>
      </c>
      <c r="E270" s="964"/>
      <c r="F270" t="s">
        <v>2548</v>
      </c>
      <c r="H270"/>
      <c r="J270"/>
      <c r="L270"/>
      <c r="N270"/>
    </row>
    <row r="271" spans="1:14">
      <c r="A271" s="1109" t="str">
        <f t="shared" si="4"/>
        <v>IMPEDANCE ANALYSIS INFORMATION ; min apparent impedance value for Test 10 (Magnitude):</v>
      </c>
      <c r="B271" t="s">
        <v>3009</v>
      </c>
      <c r="C271" t="s">
        <v>3082</v>
      </c>
      <c r="D271" t="s">
        <v>3083</v>
      </c>
      <c r="E271" s="964"/>
      <c r="F271" t="s">
        <v>2548</v>
      </c>
      <c r="H271"/>
      <c r="J271"/>
      <c r="L271"/>
      <c r="N271"/>
    </row>
    <row r="272" spans="1:14">
      <c r="A272" s="1109" t="str">
        <f t="shared" si="4"/>
        <v>IMPEDANCE ANALYSIS INFORMATION ; max apparent impedance value for Test 10 (Magnitude):</v>
      </c>
      <c r="B272" t="s">
        <v>3009</v>
      </c>
      <c r="C272" t="s">
        <v>3084</v>
      </c>
      <c r="D272" t="s">
        <v>3085</v>
      </c>
      <c r="E272" s="964"/>
      <c r="F272" t="s">
        <v>2548</v>
      </c>
      <c r="H272"/>
      <c r="J272"/>
      <c r="L272"/>
      <c r="N272"/>
    </row>
    <row r="273" spans="1:14">
      <c r="A273" s="1109" t="str">
        <f t="shared" si="4"/>
        <v>IMPEDANCE ANALYSIS INFORMATION ; 120% min apparent impedance value for Test 11 (Magnitude):</v>
      </c>
      <c r="B273" t="s">
        <v>3009</v>
      </c>
      <c r="C273" t="s">
        <v>3086</v>
      </c>
      <c r="D273" t="s">
        <v>3087</v>
      </c>
      <c r="E273" s="964"/>
      <c r="F273" t="s">
        <v>2548</v>
      </c>
      <c r="H273"/>
      <c r="J273"/>
      <c r="L273"/>
      <c r="N273"/>
    </row>
    <row r="274" spans="1:14">
      <c r="A274" s="1109" t="str">
        <f t="shared" si="4"/>
        <v>IMPEDANCE ANALYSIS INFORMATION ; 120% max apparent impedance value for Test 11 (Magnitude):</v>
      </c>
      <c r="B274" t="s">
        <v>3009</v>
      </c>
      <c r="C274" t="s">
        <v>3088</v>
      </c>
      <c r="D274" t="s">
        <v>3089</v>
      </c>
      <c r="E274" s="964"/>
      <c r="F274" t="s">
        <v>2548</v>
      </c>
      <c r="H274"/>
      <c r="J274"/>
      <c r="L274"/>
      <c r="N274"/>
    </row>
    <row r="275" spans="1:14">
      <c r="A275" s="1109" t="str">
        <f t="shared" si="4"/>
        <v>IMPEDANCE ANALYSIS INFORMATION ; 120% min apparent impedance value for Test 12 (Magnitude):</v>
      </c>
      <c r="B275" t="s">
        <v>3009</v>
      </c>
      <c r="C275" t="s">
        <v>3090</v>
      </c>
      <c r="D275" t="s">
        <v>3091</v>
      </c>
      <c r="E275" s="964"/>
      <c r="F275" t="s">
        <v>2548</v>
      </c>
      <c r="H275"/>
      <c r="J275"/>
      <c r="L275"/>
      <c r="N275"/>
    </row>
    <row r="276" spans="1:14">
      <c r="A276" s="1109" t="str">
        <f t="shared" si="4"/>
        <v>IMPEDANCE ANALYSIS INFORMATION ; 120% max apparent impedance value for Test 12 (Magnitude):</v>
      </c>
      <c r="B276" t="s">
        <v>3009</v>
      </c>
      <c r="C276" t="s">
        <v>3092</v>
      </c>
      <c r="D276" t="s">
        <v>3093</v>
      </c>
      <c r="E276" s="964"/>
      <c r="F276" t="s">
        <v>2548</v>
      </c>
      <c r="H276"/>
      <c r="J276"/>
      <c r="L276"/>
      <c r="N276"/>
    </row>
    <row r="277" spans="1:14">
      <c r="A277" s="1109" t="str">
        <f t="shared" si="4"/>
        <v>IMPEDANCE ANALYSIS INFORMATION ; min voltage value for Test 13 (PU):</v>
      </c>
      <c r="B277" t="s">
        <v>3009</v>
      </c>
      <c r="C277" t="s">
        <v>3094</v>
      </c>
      <c r="D277" t="s">
        <v>3095</v>
      </c>
      <c r="E277" s="964"/>
      <c r="F277" t="s">
        <v>2548</v>
      </c>
      <c r="H277"/>
      <c r="J277"/>
      <c r="L277"/>
      <c r="N277"/>
    </row>
    <row r="278" spans="1:14">
      <c r="A278" s="1109" t="str">
        <f t="shared" si="4"/>
        <v>IMPEDANCE ANALYSIS INFORMATION ; min voltage value for Test 14 (PU):</v>
      </c>
      <c r="B278" t="s">
        <v>3009</v>
      </c>
      <c r="C278" t="s">
        <v>3096</v>
      </c>
      <c r="D278" t="s">
        <v>3097</v>
      </c>
      <c r="E278" s="964"/>
      <c r="F278" t="s">
        <v>2548</v>
      </c>
      <c r="H278"/>
      <c r="J278"/>
      <c r="L278"/>
      <c r="N278"/>
    </row>
    <row r="279" spans="1:14">
      <c r="A279" s="1109" t="str">
        <f t="shared" si="4"/>
        <v>IMPEDANCE ANALYSIS INFORMATION ; min voltage value for Test 15 (PU):</v>
      </c>
      <c r="B279" t="s">
        <v>3009</v>
      </c>
      <c r="C279" t="s">
        <v>3098</v>
      </c>
      <c r="D279" t="s">
        <v>3099</v>
      </c>
      <c r="E279" s="964"/>
      <c r="F279" t="s">
        <v>2548</v>
      </c>
      <c r="H279"/>
      <c r="J279"/>
      <c r="L279"/>
      <c r="N279"/>
    </row>
    <row r="280" spans="1:14">
      <c r="A280" s="1109" t="str">
        <f t="shared" si="4"/>
        <v>PRC-026 COMPLIANCE INFORMATION ; Table: PRC-026 Information, Row 1</v>
      </c>
      <c r="B280" t="s">
        <v>3100</v>
      </c>
      <c r="C280" t="s">
        <v>3101</v>
      </c>
      <c r="D280" t="s">
        <v>3102</v>
      </c>
      <c r="E280" s="964"/>
      <c r="F280" t="s">
        <v>3103</v>
      </c>
      <c r="H280" t="s">
        <v>3104</v>
      </c>
      <c r="J280"/>
      <c r="L280"/>
      <c r="N280"/>
    </row>
    <row r="281" spans="1:14">
      <c r="A281" s="1109" t="str">
        <f t="shared" si="4"/>
        <v>PRC-026 COMPLIANCE INFORMATION ; Table: PRC-026 Information, Row 2</v>
      </c>
      <c r="B281" t="s">
        <v>3100</v>
      </c>
      <c r="C281" t="s">
        <v>3105</v>
      </c>
      <c r="D281" t="s">
        <v>3106</v>
      </c>
      <c r="E281" s="964"/>
      <c r="F281" t="s">
        <v>3103</v>
      </c>
      <c r="H281" t="s">
        <v>3104</v>
      </c>
      <c r="J281"/>
      <c r="L281"/>
      <c r="N281"/>
    </row>
    <row r="282" spans="1:14">
      <c r="A282" s="1109" t="str">
        <f t="shared" si="4"/>
        <v>PRC-026 COMPLIANCE INFORMATION ; Table: PRC-026 Information, Row 3</v>
      </c>
      <c r="B282" t="s">
        <v>3100</v>
      </c>
      <c r="C282" t="s">
        <v>3107</v>
      </c>
      <c r="D282" t="s">
        <v>3108</v>
      </c>
      <c r="E282" s="964"/>
      <c r="F282" t="s">
        <v>3103</v>
      </c>
      <c r="H282" t="s">
        <v>3104</v>
      </c>
      <c r="J282"/>
      <c r="L282"/>
      <c r="N282"/>
    </row>
    <row r="283" spans="1:14">
      <c r="A283" s="1109" t="str">
        <f t="shared" si="4"/>
        <v>PRC-026 COMPLIANCE INFORMATION ; Table: PRC-026 Information, Row 12</v>
      </c>
      <c r="B283" t="s">
        <v>3100</v>
      </c>
      <c r="C283" t="s">
        <v>3109</v>
      </c>
      <c r="D283" t="s">
        <v>3110</v>
      </c>
      <c r="E283" s="964"/>
      <c r="F283" t="s">
        <v>3103</v>
      </c>
      <c r="H283" t="s">
        <v>3104</v>
      </c>
      <c r="J283"/>
      <c r="L283"/>
      <c r="N283"/>
    </row>
    <row r="284" spans="1:14">
      <c r="A284" s="1109" t="str">
        <f t="shared" si="4"/>
        <v>PRC-026 COMPLIANCE INFORMATION ; Table: PRC-026 Information, Row 13</v>
      </c>
      <c r="B284" t="s">
        <v>3100</v>
      </c>
      <c r="C284" t="s">
        <v>3111</v>
      </c>
      <c r="D284" t="s">
        <v>3112</v>
      </c>
      <c r="E284" s="964"/>
      <c r="F284" t="s">
        <v>3103</v>
      </c>
      <c r="H284" t="s">
        <v>3104</v>
      </c>
      <c r="J284"/>
      <c r="L284"/>
      <c r="N284"/>
    </row>
    <row r="285" spans="1:14">
      <c r="A285" s="1109" t="str">
        <f t="shared" si="4"/>
        <v>PRC-026 COMPLIANCE INFORMATION ; Table: PRC-026 Information, Row 14</v>
      </c>
      <c r="B285" t="s">
        <v>3100</v>
      </c>
      <c r="C285" t="s">
        <v>3113</v>
      </c>
      <c r="D285" t="s">
        <v>3114</v>
      </c>
      <c r="E285" s="964"/>
      <c r="F285" t="s">
        <v>3103</v>
      </c>
      <c r="H285" t="s">
        <v>3104</v>
      </c>
      <c r="J285"/>
      <c r="L285"/>
      <c r="N285"/>
    </row>
    <row r="286" spans="1:14">
      <c r="A286" s="1109" t="str">
        <f t="shared" si="4"/>
        <v>PRC-026 COMPLIANCE INFORMATION ; Table: PRC-026 Information, Row 15</v>
      </c>
      <c r="B286" t="s">
        <v>3100</v>
      </c>
      <c r="C286" t="s">
        <v>3115</v>
      </c>
      <c r="D286" t="s">
        <v>3116</v>
      </c>
      <c r="E286" s="964"/>
      <c r="F286" t="s">
        <v>3103</v>
      </c>
      <c r="H286" t="s">
        <v>3104</v>
      </c>
      <c r="J286"/>
      <c r="L286"/>
      <c r="N286"/>
    </row>
    <row r="287" spans="1:14">
      <c r="A287" s="1109" t="str">
        <f t="shared" si="4"/>
        <v>PRC-026 COMPLIANCE INFORMATION ; Table: PRC-026 Information, Row 16</v>
      </c>
      <c r="B287" t="s">
        <v>3100</v>
      </c>
      <c r="C287" t="s">
        <v>3117</v>
      </c>
      <c r="D287" t="s">
        <v>3118</v>
      </c>
      <c r="E287" s="964"/>
      <c r="F287" t="s">
        <v>3103</v>
      </c>
      <c r="H287" t="s">
        <v>3104</v>
      </c>
      <c r="J287"/>
      <c r="L287"/>
      <c r="N287"/>
    </row>
    <row r="288" spans="1:14">
      <c r="A288" s="1109" t="str">
        <f t="shared" si="4"/>
        <v>PRC-026 COMPLIANCE INFORMATION ; Table: PRC-026 Information, Row 17</v>
      </c>
      <c r="B288" t="s">
        <v>3100</v>
      </c>
      <c r="C288" t="s">
        <v>3119</v>
      </c>
      <c r="D288" t="s">
        <v>3120</v>
      </c>
      <c r="E288" s="964"/>
      <c r="F288" t="s">
        <v>3103</v>
      </c>
      <c r="H288" t="s">
        <v>3104</v>
      </c>
      <c r="J288"/>
      <c r="L288"/>
      <c r="N288"/>
    </row>
    <row r="289" spans="1:14">
      <c r="A289" s="1109" t="str">
        <f t="shared" si="4"/>
        <v>PRC-026 COMPLIANCE INFORMATION ; Table: PRC-026 Information, Row 4</v>
      </c>
      <c r="B289" t="s">
        <v>3100</v>
      </c>
      <c r="C289" t="s">
        <v>3121</v>
      </c>
      <c r="D289" t="s">
        <v>3122</v>
      </c>
      <c r="E289" s="964"/>
      <c r="F289" t="s">
        <v>3103</v>
      </c>
      <c r="H289" t="s">
        <v>3104</v>
      </c>
      <c r="J289"/>
      <c r="L289"/>
      <c r="N289"/>
    </row>
    <row r="290" spans="1:14">
      <c r="A290" s="1109" t="str">
        <f t="shared" si="4"/>
        <v>PRC-026 COMPLIANCE INFORMATION ; Table: PRC-026 Information, Row 5</v>
      </c>
      <c r="B290" t="s">
        <v>3100</v>
      </c>
      <c r="C290" t="s">
        <v>3123</v>
      </c>
      <c r="D290" t="s">
        <v>3124</v>
      </c>
      <c r="E290" s="964"/>
      <c r="F290" t="s">
        <v>3103</v>
      </c>
      <c r="H290" t="s">
        <v>3104</v>
      </c>
      <c r="J290"/>
      <c r="L290"/>
      <c r="N290"/>
    </row>
    <row r="291" spans="1:14">
      <c r="A291" s="1109" t="str">
        <f t="shared" si="4"/>
        <v>PRC-026 COMPLIANCE INFORMATION ; Table: PRC-026 Information, Row 6</v>
      </c>
      <c r="B291" t="s">
        <v>3100</v>
      </c>
      <c r="C291" t="s">
        <v>3125</v>
      </c>
      <c r="D291" t="s">
        <v>3126</v>
      </c>
      <c r="E291" s="964"/>
      <c r="F291" t="s">
        <v>3103</v>
      </c>
      <c r="H291" t="s">
        <v>3104</v>
      </c>
      <c r="J291"/>
      <c r="L291"/>
      <c r="N291"/>
    </row>
    <row r="292" spans="1:14">
      <c r="A292" s="1109" t="str">
        <f t="shared" si="4"/>
        <v>PRC-026 COMPLIANCE INFORMATION ; Table: PRC-026 Information, Row 7</v>
      </c>
      <c r="B292" t="s">
        <v>3100</v>
      </c>
      <c r="C292" t="s">
        <v>3127</v>
      </c>
      <c r="D292" t="s">
        <v>3128</v>
      </c>
      <c r="E292" s="964"/>
      <c r="F292" t="s">
        <v>3103</v>
      </c>
      <c r="H292" t="s">
        <v>3104</v>
      </c>
      <c r="J292"/>
      <c r="L292"/>
      <c r="N292"/>
    </row>
    <row r="293" spans="1:14">
      <c r="A293" s="1109" t="str">
        <f t="shared" si="4"/>
        <v>PRC-026 COMPLIANCE INFORMATION ; Table: PRC-026 Information, Row 8</v>
      </c>
      <c r="B293" t="s">
        <v>3100</v>
      </c>
      <c r="C293" t="s">
        <v>3129</v>
      </c>
      <c r="D293" t="s">
        <v>3130</v>
      </c>
      <c r="E293" s="964"/>
      <c r="F293" t="s">
        <v>3103</v>
      </c>
      <c r="H293" t="s">
        <v>3104</v>
      </c>
      <c r="J293"/>
      <c r="L293"/>
      <c r="N293"/>
    </row>
    <row r="294" spans="1:14">
      <c r="A294" s="1109" t="str">
        <f t="shared" si="4"/>
        <v>PRC-026 COMPLIANCE INFORMATION ; Table: PRC-026 Information, Row 9</v>
      </c>
      <c r="B294" t="s">
        <v>3100</v>
      </c>
      <c r="C294" t="s">
        <v>3131</v>
      </c>
      <c r="D294" t="s">
        <v>3132</v>
      </c>
      <c r="E294" s="964"/>
      <c r="F294" t="s">
        <v>3103</v>
      </c>
      <c r="H294" t="s">
        <v>3104</v>
      </c>
      <c r="J294"/>
      <c r="L294"/>
      <c r="N294"/>
    </row>
    <row r="295" spans="1:14">
      <c r="A295" s="1109" t="str">
        <f t="shared" si="4"/>
        <v>PRC-026 COMPLIANCE INFORMATION ; Table: PRC-026 Information, Row 10</v>
      </c>
      <c r="B295" t="s">
        <v>3100</v>
      </c>
      <c r="C295" t="s">
        <v>3133</v>
      </c>
      <c r="D295" t="s">
        <v>3134</v>
      </c>
      <c r="E295" s="964"/>
      <c r="F295" t="s">
        <v>3103</v>
      </c>
      <c r="H295" t="s">
        <v>3104</v>
      </c>
      <c r="J295"/>
      <c r="L295"/>
      <c r="N295"/>
    </row>
    <row r="296" spans="1:14">
      <c r="A296" s="1109" t="str">
        <f t="shared" si="4"/>
        <v>PRC-026 COMPLIANCE INFORMATION ; Table: PRC-026 Information, Row 11</v>
      </c>
      <c r="B296" t="s">
        <v>3100</v>
      </c>
      <c r="C296" t="s">
        <v>3135</v>
      </c>
      <c r="D296" t="s">
        <v>3136</v>
      </c>
      <c r="E296" s="964"/>
      <c r="F296" t="s">
        <v>3103</v>
      </c>
      <c r="H296" t="s">
        <v>3104</v>
      </c>
      <c r="J296"/>
      <c r="L296"/>
      <c r="N296"/>
    </row>
    <row r="297" spans="1:14">
      <c r="A297" s="1109" t="str">
        <f t="shared" si="4"/>
        <v>PRC-026 COMPLIANCE INFORMATION ; Table: PRC-026 Information, Row 18</v>
      </c>
      <c r="B297" t="s">
        <v>3100</v>
      </c>
      <c r="C297" t="s">
        <v>3137</v>
      </c>
      <c r="D297" t="s">
        <v>3138</v>
      </c>
      <c r="E297" s="964"/>
      <c r="F297" t="s">
        <v>3103</v>
      </c>
      <c r="H297" t="s">
        <v>3104</v>
      </c>
      <c r="J297"/>
      <c r="L297"/>
      <c r="N297"/>
    </row>
    <row r="298" spans="1:14">
      <c r="A298" s="1109" t="str">
        <f t="shared" si="4"/>
        <v>PRC-026 COMPLIANCE INFORMATION ; Table: PRC-026 Information, Row 19</v>
      </c>
      <c r="B298" t="s">
        <v>3100</v>
      </c>
      <c r="C298" t="s">
        <v>3139</v>
      </c>
      <c r="D298" t="s">
        <v>3140</v>
      </c>
      <c r="E298" s="964"/>
      <c r="F298" t="s">
        <v>3103</v>
      </c>
      <c r="H298" t="s">
        <v>3104</v>
      </c>
      <c r="J298"/>
      <c r="L298"/>
      <c r="N298"/>
    </row>
    <row r="299" spans="1:14">
      <c r="A299" s="1109" t="str">
        <f t="shared" si="4"/>
        <v>PRC-026 COMPLIANCE INFORMATION ; Table: PRC-026 Information, Row 20</v>
      </c>
      <c r="B299" t="s">
        <v>3100</v>
      </c>
      <c r="C299" t="s">
        <v>3141</v>
      </c>
      <c r="D299" t="s">
        <v>3142</v>
      </c>
      <c r="E299" s="964"/>
      <c r="F299" t="s">
        <v>3103</v>
      </c>
      <c r="H299" t="s">
        <v>3104</v>
      </c>
      <c r="J299"/>
      <c r="L299"/>
      <c r="N299"/>
    </row>
    <row r="300" spans="1:14">
      <c r="A300" s="1109" t="str">
        <f t="shared" si="4"/>
        <v>PRC-026 COMPLIANCE INFORMATION ; Table: PRC-026 Information, Row 21</v>
      </c>
      <c r="B300" t="s">
        <v>3100</v>
      </c>
      <c r="C300" t="s">
        <v>3143</v>
      </c>
      <c r="D300" t="s">
        <v>3144</v>
      </c>
      <c r="E300" s="964"/>
      <c r="F300" t="s">
        <v>3103</v>
      </c>
      <c r="H300" t="s">
        <v>3104</v>
      </c>
      <c r="J300"/>
      <c r="L300"/>
      <c r="N300"/>
    </row>
    <row r="301" spans="1:14">
      <c r="A301" s="1109" t="str">
        <f t="shared" si="4"/>
        <v>PRC-026 COMPLIANCE INFORMATION ; Table: PRC-026 Information, Row 22</v>
      </c>
      <c r="B301" t="s">
        <v>3100</v>
      </c>
      <c r="C301" t="s">
        <v>3145</v>
      </c>
      <c r="D301" t="s">
        <v>3146</v>
      </c>
      <c r="E301" s="964"/>
      <c r="F301" t="s">
        <v>3103</v>
      </c>
      <c r="H301" t="s">
        <v>3104</v>
      </c>
      <c r="J301"/>
      <c r="L301"/>
      <c r="N301"/>
    </row>
    <row r="302" spans="1:14">
      <c r="A302" s="1109" t="str">
        <f t="shared" si="4"/>
        <v>PRC-026 COMPLIANCE INFORMATION ; Table: PRC-026 Information, Row 23</v>
      </c>
      <c r="B302" t="s">
        <v>3100</v>
      </c>
      <c r="C302" t="s">
        <v>3147</v>
      </c>
      <c r="D302" t="s">
        <v>3148</v>
      </c>
      <c r="E302" s="964"/>
      <c r="F302" t="s">
        <v>3103</v>
      </c>
      <c r="H302" t="s">
        <v>3104</v>
      </c>
      <c r="J302"/>
      <c r="L302"/>
      <c r="N302"/>
    </row>
    <row r="303" spans="1:14">
      <c r="A303" s="1109" t="str">
        <f t="shared" si="4"/>
        <v>PRC-026 COMPLIANCE INFORMATION ; Table: PRC-026 Information, Row 24</v>
      </c>
      <c r="B303" t="s">
        <v>3100</v>
      </c>
      <c r="C303" t="s">
        <v>3149</v>
      </c>
      <c r="D303" t="s">
        <v>3150</v>
      </c>
      <c r="E303" s="964"/>
      <c r="F303" t="s">
        <v>3103</v>
      </c>
      <c r="H303" t="s">
        <v>3104</v>
      </c>
      <c r="J303"/>
      <c r="L303"/>
      <c r="N303"/>
    </row>
    <row r="304" spans="1:14">
      <c r="A304" s="1109" t="str">
        <f t="shared" si="4"/>
        <v>PRC-026 COMPLIANCE INFORMATION ; Table: PRC-026 Information, Row 25</v>
      </c>
      <c r="B304" t="s">
        <v>3100</v>
      </c>
      <c r="C304" t="s">
        <v>3151</v>
      </c>
      <c r="D304" t="s">
        <v>3152</v>
      </c>
      <c r="E304" s="964"/>
      <c r="F304" t="s">
        <v>3103</v>
      </c>
      <c r="H304" t="s">
        <v>3104</v>
      </c>
      <c r="J304"/>
      <c r="L304"/>
      <c r="N304"/>
    </row>
    <row r="305" spans="1:25">
      <c r="A305" s="1109" t="str">
        <f t="shared" si="4"/>
        <v>NETWORK INFORMATION ; Table: Remote Power Transformer 1, Row 1</v>
      </c>
      <c r="B305" t="s">
        <v>2535</v>
      </c>
      <c r="C305" t="s">
        <v>3153</v>
      </c>
      <c r="D305" t="s">
        <v>2864</v>
      </c>
      <c r="E305" s="964"/>
      <c r="F305" t="s">
        <v>2851</v>
      </c>
      <c r="G305"/>
      <c r="H305"/>
      <c r="I305"/>
      <c r="J305"/>
      <c r="K305"/>
      <c r="L305"/>
      <c r="M305"/>
      <c r="N305"/>
      <c r="O305"/>
      <c r="P305"/>
      <c r="Q305"/>
      <c r="R305"/>
      <c r="S305"/>
      <c r="T305"/>
      <c r="U305"/>
      <c r="V305"/>
      <c r="W305"/>
      <c r="X305"/>
      <c r="Y305"/>
    </row>
    <row r="306" spans="1:25">
      <c r="A306" s="1109" t="str">
        <f t="shared" si="4"/>
        <v>NETWORK INFORMATION ; Table: Remote Power Transformer 1, Row 1</v>
      </c>
      <c r="B306" t="s">
        <v>2535</v>
      </c>
      <c r="C306" t="s">
        <v>3153</v>
      </c>
      <c r="D306" t="s">
        <v>2865</v>
      </c>
      <c r="E306" s="964"/>
      <c r="F306" t="s">
        <v>2853</v>
      </c>
      <c r="G306"/>
      <c r="H306"/>
      <c r="I306"/>
      <c r="J306"/>
      <c r="K306"/>
      <c r="L306"/>
      <c r="M306"/>
      <c r="N306"/>
      <c r="O306"/>
      <c r="P306"/>
      <c r="Q306"/>
      <c r="R306"/>
      <c r="S306"/>
      <c r="T306"/>
      <c r="U306"/>
      <c r="V306"/>
      <c r="W306"/>
      <c r="X306"/>
      <c r="Y306"/>
    </row>
    <row r="307" spans="1:25">
      <c r="A307" s="1109" t="str">
        <f t="shared" si="4"/>
        <v>NETWORK INFORMATION ; Table: Remote Power Transformer 2, Row 1</v>
      </c>
      <c r="B307" t="s">
        <v>2535</v>
      </c>
      <c r="C307" t="s">
        <v>3154</v>
      </c>
      <c r="D307" t="s">
        <v>2867</v>
      </c>
      <c r="E307" s="964"/>
      <c r="F307" t="s">
        <v>2851</v>
      </c>
      <c r="G307"/>
      <c r="H307"/>
      <c r="I307"/>
      <c r="J307"/>
      <c r="K307"/>
      <c r="L307"/>
      <c r="M307"/>
      <c r="N307"/>
      <c r="O307"/>
      <c r="P307"/>
      <c r="Q307"/>
      <c r="R307"/>
      <c r="S307"/>
      <c r="T307"/>
      <c r="U307"/>
      <c r="V307"/>
      <c r="W307"/>
      <c r="X307"/>
      <c r="Y307"/>
    </row>
    <row r="308" spans="1:25">
      <c r="A308" s="1109" t="str">
        <f t="shared" si="4"/>
        <v>NETWORK INFORMATION ; Table: Remote Power Transformer 2, Row 1</v>
      </c>
      <c r="B308" t="s">
        <v>2535</v>
      </c>
      <c r="C308" t="s">
        <v>3154</v>
      </c>
      <c r="D308" t="s">
        <v>2868</v>
      </c>
      <c r="E308" s="964"/>
      <c r="F308" t="s">
        <v>2853</v>
      </c>
      <c r="G308"/>
      <c r="H308"/>
      <c r="I308"/>
      <c r="J308"/>
      <c r="K308"/>
      <c r="L308"/>
      <c r="M308"/>
      <c r="N308"/>
      <c r="O308"/>
      <c r="P308"/>
      <c r="Q308"/>
      <c r="R308"/>
      <c r="S308"/>
      <c r="T308"/>
      <c r="U308"/>
      <c r="V308"/>
      <c r="W308"/>
      <c r="X308"/>
      <c r="Y308"/>
    </row>
    <row r="309" spans="1:25">
      <c r="A309" s="1109" t="str">
        <f t="shared" si="4"/>
        <v>NETWORK INFORMATION ; Table: Remote Power Transformer 3, Row 1</v>
      </c>
      <c r="B309" t="s">
        <v>2535</v>
      </c>
      <c r="C309" t="s">
        <v>3155</v>
      </c>
      <c r="D309" t="s">
        <v>2870</v>
      </c>
      <c r="E309"/>
      <c r="F309" t="s">
        <v>2851</v>
      </c>
      <c r="G309"/>
      <c r="H309"/>
      <c r="I309"/>
      <c r="J309"/>
      <c r="K309"/>
      <c r="L309"/>
      <c r="M309"/>
      <c r="N309"/>
      <c r="O309"/>
      <c r="P309"/>
      <c r="Q309"/>
      <c r="R309"/>
      <c r="S309"/>
      <c r="T309"/>
      <c r="U309"/>
      <c r="V309"/>
      <c r="W309"/>
      <c r="X309"/>
      <c r="Y309"/>
    </row>
    <row r="310" spans="1:25">
      <c r="A310" s="1109" t="str">
        <f t="shared" si="4"/>
        <v>NETWORK INFORMATION ; Table: Remote Power Transformer 3, Row 1</v>
      </c>
      <c r="B310" t="s">
        <v>2535</v>
      </c>
      <c r="C310" t="s">
        <v>3155</v>
      </c>
      <c r="D310" t="s">
        <v>2871</v>
      </c>
      <c r="E310"/>
      <c r="F310" t="s">
        <v>2853</v>
      </c>
      <c r="G310"/>
      <c r="H310"/>
      <c r="I310"/>
      <c r="J310"/>
      <c r="K310"/>
      <c r="L310"/>
      <c r="M310"/>
      <c r="N310"/>
      <c r="O310"/>
      <c r="P310"/>
      <c r="Q310"/>
      <c r="R310"/>
      <c r="S310"/>
      <c r="T310"/>
      <c r="U310"/>
      <c r="V310"/>
      <c r="W310"/>
      <c r="X310"/>
      <c r="Y310"/>
    </row>
    <row r="311" spans="1:25">
      <c r="A311" s="1109" t="str">
        <f t="shared" si="4"/>
        <v>NETWORK INFORMATION ; Table: Remote Power Transformer 4, Row 1</v>
      </c>
      <c r="B311" t="s">
        <v>2535</v>
      </c>
      <c r="C311" t="s">
        <v>3156</v>
      </c>
      <c r="D311" t="s">
        <v>2873</v>
      </c>
      <c r="E311"/>
      <c r="F311" t="s">
        <v>2851</v>
      </c>
      <c r="G311"/>
      <c r="H311"/>
      <c r="I311"/>
      <c r="J311"/>
      <c r="K311"/>
      <c r="L311"/>
      <c r="M311"/>
      <c r="N311"/>
      <c r="O311"/>
      <c r="P311"/>
      <c r="Q311"/>
      <c r="R311"/>
      <c r="S311"/>
      <c r="T311"/>
      <c r="U311"/>
      <c r="V311"/>
      <c r="W311"/>
      <c r="X311"/>
      <c r="Y311"/>
    </row>
    <row r="312" spans="1:25">
      <c r="A312" s="1109" t="str">
        <f t="shared" si="4"/>
        <v>NETWORK INFORMATION ; Table: Remote Power Transformer 4, Row 1</v>
      </c>
      <c r="B312" t="s">
        <v>2535</v>
      </c>
      <c r="C312" t="s">
        <v>3156</v>
      </c>
      <c r="D312" t="s">
        <v>2874</v>
      </c>
      <c r="E312"/>
      <c r="F312" t="s">
        <v>2853</v>
      </c>
      <c r="G312"/>
      <c r="H312"/>
      <c r="I312"/>
      <c r="J312"/>
      <c r="K312"/>
      <c r="L312"/>
      <c r="M312"/>
      <c r="N312"/>
      <c r="O312"/>
      <c r="P312"/>
      <c r="Q312"/>
      <c r="R312"/>
      <c r="S312"/>
      <c r="T312"/>
      <c r="U312"/>
      <c r="V312"/>
      <c r="W312"/>
      <c r="X312"/>
      <c r="Y312"/>
    </row>
    <row r="313" spans="1:25">
      <c r="A313" s="1109" t="str">
        <f t="shared" si="4"/>
        <v>NETWORK INFORMATION ; Table: Remote Power Transformer 5, Row 1</v>
      </c>
      <c r="B313" t="s">
        <v>2535</v>
      </c>
      <c r="C313" t="s">
        <v>3157</v>
      </c>
      <c r="D313" t="s">
        <v>2876</v>
      </c>
      <c r="E313"/>
      <c r="F313" t="s">
        <v>2851</v>
      </c>
      <c r="G313"/>
      <c r="H313"/>
      <c r="I313"/>
      <c r="J313"/>
      <c r="K313"/>
      <c r="L313"/>
      <c r="M313"/>
      <c r="N313"/>
      <c r="O313"/>
      <c r="P313"/>
      <c r="Q313"/>
      <c r="R313"/>
      <c r="S313"/>
      <c r="T313"/>
      <c r="U313"/>
      <c r="V313"/>
      <c r="W313"/>
      <c r="X313"/>
      <c r="Y313"/>
    </row>
    <row r="314" spans="1:25">
      <c r="A314" s="1109" t="str">
        <f t="shared" si="4"/>
        <v>NETWORK INFORMATION ; Table: Remote Power Transformer 5, Row 1</v>
      </c>
      <c r="B314" t="s">
        <v>2535</v>
      </c>
      <c r="C314" t="s">
        <v>3157</v>
      </c>
      <c r="D314" t="s">
        <v>2877</v>
      </c>
      <c r="E314"/>
      <c r="F314" t="s">
        <v>2853</v>
      </c>
      <c r="G314"/>
      <c r="H314"/>
      <c r="I314"/>
      <c r="J314"/>
      <c r="K314"/>
      <c r="L314"/>
      <c r="M314"/>
      <c r="N314"/>
      <c r="O314"/>
      <c r="P314"/>
      <c r="Q314"/>
      <c r="R314"/>
      <c r="S314"/>
      <c r="T314"/>
      <c r="U314"/>
      <c r="V314"/>
      <c r="W314"/>
      <c r="X314"/>
      <c r="Y314"/>
    </row>
    <row r="315" spans="1:25">
      <c r="A315" s="1109" t="str">
        <f t="shared" si="4"/>
        <v>NETWORK INFORMATION ; Table: Remote Power Transformer 6, Row 1</v>
      </c>
      <c r="B315" t="s">
        <v>2535</v>
      </c>
      <c r="C315" t="s">
        <v>3158</v>
      </c>
      <c r="D315" t="s">
        <v>2879</v>
      </c>
      <c r="E315"/>
      <c r="F315" t="s">
        <v>2851</v>
      </c>
      <c r="G315"/>
      <c r="H315"/>
      <c r="I315"/>
      <c r="J315"/>
      <c r="K315"/>
      <c r="L315"/>
      <c r="M315"/>
      <c r="N315"/>
      <c r="O315"/>
      <c r="P315"/>
      <c r="Q315"/>
      <c r="R315"/>
      <c r="S315"/>
      <c r="T315"/>
      <c r="U315"/>
      <c r="V315"/>
      <c r="W315"/>
      <c r="X315"/>
      <c r="Y315"/>
    </row>
    <row r="316" spans="1:25">
      <c r="A316" s="1109" t="str">
        <f t="shared" si="4"/>
        <v>NETWORK INFORMATION ; Table: Remote Power Transformer 6, Row 1</v>
      </c>
      <c r="B316" t="s">
        <v>2535</v>
      </c>
      <c r="C316" t="s">
        <v>3158</v>
      </c>
      <c r="D316" t="s">
        <v>2880</v>
      </c>
      <c r="E316"/>
      <c r="F316" t="s">
        <v>2853</v>
      </c>
      <c r="G316"/>
      <c r="H316"/>
      <c r="I316"/>
      <c r="J316"/>
      <c r="K316"/>
      <c r="L316"/>
      <c r="M316"/>
      <c r="N316"/>
      <c r="O316"/>
      <c r="P316"/>
      <c r="Q316"/>
      <c r="R316"/>
      <c r="S316"/>
      <c r="T316"/>
      <c r="U316"/>
      <c r="V316"/>
      <c r="W316"/>
      <c r="X316"/>
      <c r="Y316"/>
    </row>
    <row r="317" spans="1:25">
      <c r="A317" s="1109" t="str">
        <f t="shared" si="4"/>
        <v>NETWORK INFORMATION ; Table: Remote Power Transformer 7, Row 1</v>
      </c>
      <c r="B317" t="s">
        <v>2535</v>
      </c>
      <c r="C317" t="s">
        <v>3159</v>
      </c>
      <c r="D317" t="s">
        <v>2882</v>
      </c>
      <c r="E317"/>
      <c r="F317" t="s">
        <v>2851</v>
      </c>
      <c r="G317"/>
      <c r="H317"/>
      <c r="I317"/>
      <c r="J317"/>
      <c r="K317"/>
      <c r="L317"/>
      <c r="M317"/>
      <c r="N317"/>
      <c r="O317"/>
      <c r="P317"/>
      <c r="Q317"/>
      <c r="R317"/>
      <c r="S317"/>
      <c r="T317"/>
      <c r="U317"/>
      <c r="V317"/>
      <c r="W317"/>
      <c r="X317"/>
      <c r="Y317"/>
    </row>
    <row r="318" spans="1:25">
      <c r="A318" s="1109" t="str">
        <f t="shared" si="4"/>
        <v>NETWORK INFORMATION ; Table: Remote Power Transformer 7, Row 1</v>
      </c>
      <c r="B318" t="s">
        <v>2535</v>
      </c>
      <c r="C318" t="s">
        <v>3159</v>
      </c>
      <c r="D318" t="s">
        <v>2883</v>
      </c>
      <c r="E318"/>
      <c r="F318" t="s">
        <v>2853</v>
      </c>
      <c r="G318"/>
      <c r="H318"/>
      <c r="I318"/>
      <c r="J318"/>
      <c r="K318"/>
      <c r="L318"/>
      <c r="M318"/>
      <c r="N318"/>
      <c r="O318"/>
      <c r="P318"/>
      <c r="Q318"/>
      <c r="R318"/>
      <c r="S318"/>
      <c r="T318"/>
      <c r="U318"/>
      <c r="V318"/>
      <c r="W318"/>
      <c r="X318"/>
      <c r="Y318"/>
    </row>
    <row r="319" spans="1:25">
      <c r="A319" s="1109" t="str">
        <f t="shared" si="4"/>
        <v>NETWORK INFORMATION ; Table: Remote Power Transformer 8, Row 1</v>
      </c>
      <c r="B319" t="s">
        <v>2535</v>
      </c>
      <c r="C319" t="s">
        <v>3160</v>
      </c>
      <c r="D319" t="s">
        <v>2885</v>
      </c>
      <c r="E319"/>
      <c r="F319" t="s">
        <v>2851</v>
      </c>
      <c r="G319"/>
      <c r="H319"/>
      <c r="I319"/>
      <c r="J319"/>
      <c r="K319"/>
      <c r="L319"/>
      <c r="M319"/>
      <c r="N319"/>
      <c r="O319"/>
      <c r="P319"/>
      <c r="Q319"/>
      <c r="R319"/>
      <c r="S319"/>
      <c r="T319"/>
      <c r="U319"/>
      <c r="V319"/>
      <c r="W319"/>
      <c r="X319"/>
      <c r="Y319"/>
    </row>
    <row r="320" spans="1:25">
      <c r="A320" s="1109" t="str">
        <f t="shared" si="4"/>
        <v>NETWORK INFORMATION ; Table: Remote Power Transformer 8, Row 1</v>
      </c>
      <c r="B320" t="s">
        <v>2535</v>
      </c>
      <c r="C320" t="s">
        <v>3160</v>
      </c>
      <c r="D320" t="s">
        <v>2886</v>
      </c>
      <c r="E320"/>
      <c r="F320" t="s">
        <v>2853</v>
      </c>
      <c r="G320"/>
      <c r="H320"/>
      <c r="I320"/>
      <c r="J320"/>
      <c r="K320"/>
      <c r="L320"/>
      <c r="M320"/>
      <c r="N320"/>
      <c r="O320"/>
      <c r="P320"/>
      <c r="Q320"/>
      <c r="R320"/>
      <c r="S320"/>
      <c r="T320"/>
      <c r="U320"/>
      <c r="V320"/>
      <c r="W320"/>
      <c r="X320"/>
      <c r="Y320"/>
    </row>
    <row r="321" spans="1:25">
      <c r="A321" s="1109" t="str">
        <f t="shared" si="4"/>
        <v>IMPEDANCE ANALYSIS INFORMATION ; min apparent impedance angle for Test 3:</v>
      </c>
      <c r="B321" t="s">
        <v>3009</v>
      </c>
      <c r="C321" t="s">
        <v>3161</v>
      </c>
      <c r="D321" t="s">
        <v>3162</v>
      </c>
      <c r="E321" s="964"/>
      <c r="F321" t="s">
        <v>2548</v>
      </c>
      <c r="G321"/>
      <c r="H321"/>
      <c r="I321"/>
      <c r="J321"/>
      <c r="K321"/>
      <c r="L321"/>
      <c r="M321"/>
      <c r="N321"/>
      <c r="O321"/>
      <c r="P321"/>
      <c r="Q321"/>
      <c r="R321"/>
      <c r="S321"/>
      <c r="T321"/>
      <c r="U321"/>
      <c r="V321"/>
      <c r="W321"/>
      <c r="X321"/>
      <c r="Y321"/>
    </row>
    <row r="322" spans="1:25">
      <c r="A322" s="1109" t="str">
        <f t="shared" ref="A322:A341" si="5">_xlfn.CONCAT(B322, " ; ", C322)</f>
        <v>IMPEDANCE ANALYSIS INFORMATION ; max apparent impedance angle for Test 3:</v>
      </c>
      <c r="B322" t="s">
        <v>3009</v>
      </c>
      <c r="C322" t="s">
        <v>3163</v>
      </c>
      <c r="D322" t="s">
        <v>3164</v>
      </c>
      <c r="E322" s="964"/>
      <c r="F322" t="s">
        <v>2548</v>
      </c>
      <c r="G322"/>
      <c r="H322"/>
      <c r="I322"/>
      <c r="J322"/>
      <c r="K322"/>
      <c r="L322"/>
      <c r="M322"/>
      <c r="N322"/>
      <c r="O322"/>
      <c r="P322"/>
      <c r="Q322"/>
      <c r="R322"/>
      <c r="S322"/>
      <c r="T322"/>
      <c r="U322"/>
      <c r="V322"/>
      <c r="W322"/>
      <c r="X322"/>
      <c r="Y322"/>
    </row>
    <row r="323" spans="1:25">
      <c r="A323" s="1109" t="str">
        <f t="shared" si="5"/>
        <v>IMPEDANCE ANALYSIS INFORMATION ; min apparent impedance angle for Test 4:</v>
      </c>
      <c r="B323" t="s">
        <v>3009</v>
      </c>
      <c r="C323" t="s">
        <v>3165</v>
      </c>
      <c r="D323" t="s">
        <v>3166</v>
      </c>
      <c r="E323" s="964"/>
      <c r="F323" t="s">
        <v>2548</v>
      </c>
      <c r="G323"/>
      <c r="H323"/>
      <c r="I323"/>
      <c r="J323"/>
      <c r="K323"/>
      <c r="L323"/>
      <c r="M323"/>
      <c r="N323"/>
      <c r="O323"/>
      <c r="P323"/>
      <c r="Q323"/>
      <c r="R323"/>
      <c r="S323"/>
      <c r="T323"/>
      <c r="U323"/>
      <c r="V323"/>
      <c r="W323"/>
      <c r="X323"/>
      <c r="Y323"/>
    </row>
    <row r="324" spans="1:25">
      <c r="A324" s="1109" t="str">
        <f t="shared" si="5"/>
        <v>IMPEDANCE ANALYSIS INFORMATION ; max apparent impedance angle for Test 4:</v>
      </c>
      <c r="B324" t="s">
        <v>3009</v>
      </c>
      <c r="C324" t="s">
        <v>3167</v>
      </c>
      <c r="D324" t="s">
        <v>3168</v>
      </c>
      <c r="E324" s="964"/>
      <c r="F324" t="s">
        <v>2548</v>
      </c>
      <c r="G324"/>
      <c r="H324"/>
      <c r="I324"/>
      <c r="J324"/>
      <c r="K324"/>
      <c r="L324"/>
      <c r="M324"/>
      <c r="N324"/>
      <c r="O324"/>
      <c r="P324"/>
      <c r="Q324"/>
      <c r="R324"/>
      <c r="S324"/>
      <c r="T324"/>
      <c r="U324"/>
      <c r="V324"/>
      <c r="W324"/>
      <c r="X324"/>
      <c r="Y324"/>
    </row>
    <row r="325" spans="1:25">
      <c r="A325" s="1109" t="str">
        <f t="shared" si="5"/>
        <v>IMPEDANCE ANALYSIS INFORMATION ; min apparent impedance angle for Test 5:</v>
      </c>
      <c r="B325" t="s">
        <v>3009</v>
      </c>
      <c r="C325" t="s">
        <v>3169</v>
      </c>
      <c r="D325" t="s">
        <v>3170</v>
      </c>
      <c r="E325" s="964"/>
      <c r="F325" t="s">
        <v>2548</v>
      </c>
      <c r="G325"/>
      <c r="H325"/>
      <c r="I325"/>
      <c r="J325"/>
      <c r="K325"/>
      <c r="L325"/>
      <c r="M325"/>
      <c r="N325"/>
      <c r="O325"/>
      <c r="P325"/>
      <c r="Q325"/>
      <c r="R325"/>
      <c r="S325"/>
      <c r="T325"/>
      <c r="U325"/>
      <c r="V325"/>
      <c r="W325"/>
      <c r="X325"/>
      <c r="Y325"/>
    </row>
    <row r="326" spans="1:25">
      <c r="A326" s="1109" t="str">
        <f t="shared" si="5"/>
        <v>IMPEDANCE ANALYSIS INFORMATION ; max apparent impedance angle for Test 5:</v>
      </c>
      <c r="B326" t="s">
        <v>3009</v>
      </c>
      <c r="C326" t="s">
        <v>3171</v>
      </c>
      <c r="D326" t="s">
        <v>3172</v>
      </c>
      <c r="E326" s="964"/>
      <c r="F326" t="s">
        <v>2548</v>
      </c>
      <c r="G326"/>
      <c r="H326"/>
      <c r="I326"/>
      <c r="J326"/>
      <c r="K326"/>
      <c r="L326"/>
      <c r="M326"/>
      <c r="N326"/>
      <c r="O326"/>
      <c r="P326"/>
      <c r="Q326"/>
      <c r="R326"/>
      <c r="S326"/>
      <c r="T326"/>
      <c r="U326"/>
      <c r="V326"/>
      <c r="W326"/>
      <c r="X326"/>
      <c r="Y326"/>
    </row>
    <row r="327" spans="1:25">
      <c r="A327" s="1109" t="str">
        <f t="shared" si="5"/>
        <v>IMPEDANCE ANALYSIS INFORMATION ; min apparent impedance angle for Test 6:</v>
      </c>
      <c r="B327" t="s">
        <v>3009</v>
      </c>
      <c r="C327" t="s">
        <v>3173</v>
      </c>
      <c r="D327" t="s">
        <v>3174</v>
      </c>
      <c r="E327" s="964"/>
      <c r="F327" t="s">
        <v>2548</v>
      </c>
      <c r="G327"/>
      <c r="H327"/>
      <c r="I327"/>
      <c r="J327"/>
      <c r="K327"/>
      <c r="L327"/>
      <c r="M327"/>
      <c r="N327"/>
      <c r="O327"/>
      <c r="P327"/>
      <c r="Q327"/>
      <c r="R327"/>
      <c r="S327"/>
      <c r="T327"/>
      <c r="U327"/>
      <c r="V327"/>
      <c r="W327"/>
      <c r="X327"/>
      <c r="Y327"/>
    </row>
    <row r="328" spans="1:25">
      <c r="A328" s="1109" t="str">
        <f t="shared" si="5"/>
        <v>IMPEDANCE ANALYSIS INFORMATION ; max apparent impedance angle for Test 6:</v>
      </c>
      <c r="B328" t="s">
        <v>3009</v>
      </c>
      <c r="C328" t="s">
        <v>3175</v>
      </c>
      <c r="D328" t="s">
        <v>3176</v>
      </c>
      <c r="E328" s="964"/>
      <c r="F328" t="s">
        <v>2548</v>
      </c>
      <c r="G328"/>
      <c r="H328"/>
      <c r="I328"/>
      <c r="J328"/>
      <c r="K328"/>
      <c r="L328"/>
      <c r="M328"/>
      <c r="N328"/>
      <c r="O328"/>
      <c r="P328"/>
      <c r="Q328"/>
      <c r="R328"/>
      <c r="S328"/>
      <c r="T328"/>
      <c r="U328"/>
      <c r="V328"/>
      <c r="W328"/>
      <c r="X328"/>
      <c r="Y328"/>
    </row>
    <row r="329" spans="1:25">
      <c r="A329" s="1109" t="str">
        <f t="shared" si="5"/>
        <v>IMPEDANCE ANALYSIS INFORMATION ; min apparent impedance angle for Test 7:</v>
      </c>
      <c r="B329" t="s">
        <v>3009</v>
      </c>
      <c r="C329" t="s">
        <v>3177</v>
      </c>
      <c r="D329" t="s">
        <v>3178</v>
      </c>
      <c r="E329" s="964"/>
      <c r="F329" t="s">
        <v>2548</v>
      </c>
      <c r="G329"/>
      <c r="H329"/>
      <c r="I329"/>
      <c r="J329"/>
      <c r="K329"/>
      <c r="L329"/>
      <c r="M329"/>
      <c r="N329"/>
      <c r="O329"/>
      <c r="P329"/>
      <c r="Q329"/>
      <c r="R329"/>
      <c r="S329"/>
      <c r="T329"/>
      <c r="U329"/>
      <c r="V329"/>
      <c r="W329"/>
      <c r="X329"/>
      <c r="Y329"/>
    </row>
    <row r="330" spans="1:25">
      <c r="A330" s="1109" t="str">
        <f t="shared" si="5"/>
        <v>IMPEDANCE ANALYSIS INFORMATION ; max apparent impedance angle for Test 7:</v>
      </c>
      <c r="B330" t="s">
        <v>3009</v>
      </c>
      <c r="C330" t="s">
        <v>3179</v>
      </c>
      <c r="D330" t="s">
        <v>3180</v>
      </c>
      <c r="E330" s="964"/>
      <c r="F330" t="s">
        <v>2548</v>
      </c>
      <c r="G330"/>
      <c r="H330"/>
      <c r="I330"/>
      <c r="J330"/>
      <c r="K330"/>
      <c r="L330"/>
      <c r="M330"/>
      <c r="N330"/>
      <c r="O330"/>
      <c r="P330"/>
      <c r="Q330"/>
      <c r="R330"/>
      <c r="S330"/>
      <c r="T330"/>
      <c r="U330"/>
      <c r="V330"/>
      <c r="W330"/>
      <c r="X330"/>
      <c r="Y330"/>
    </row>
    <row r="331" spans="1:25">
      <c r="A331" s="1109" t="str">
        <f t="shared" si="5"/>
        <v>IMPEDANCE ANALYSIS INFORMATION ; min apparent impedance angle for Test 8:</v>
      </c>
      <c r="B331" t="s">
        <v>3009</v>
      </c>
      <c r="C331" t="s">
        <v>3181</v>
      </c>
      <c r="D331" t="s">
        <v>3182</v>
      </c>
      <c r="E331" s="964"/>
      <c r="F331" t="s">
        <v>2548</v>
      </c>
      <c r="G331"/>
      <c r="H331"/>
      <c r="I331"/>
      <c r="J331"/>
      <c r="K331"/>
      <c r="L331"/>
      <c r="M331"/>
      <c r="N331"/>
      <c r="O331"/>
      <c r="P331"/>
      <c r="Q331"/>
      <c r="R331"/>
      <c r="S331"/>
      <c r="T331"/>
      <c r="U331"/>
      <c r="V331"/>
      <c r="W331"/>
      <c r="X331"/>
      <c r="Y331"/>
    </row>
    <row r="332" spans="1:25">
      <c r="A332" s="1109" t="str">
        <f t="shared" si="5"/>
        <v>IMPEDANCE ANALYSIS INFORMATION ; max apparent impedance angle for Test 8:</v>
      </c>
      <c r="B332" t="s">
        <v>3009</v>
      </c>
      <c r="C332" t="s">
        <v>3183</v>
      </c>
      <c r="D332" t="s">
        <v>3184</v>
      </c>
      <c r="E332" s="964"/>
      <c r="F332" t="s">
        <v>2548</v>
      </c>
      <c r="G332"/>
      <c r="H332"/>
      <c r="I332"/>
      <c r="J332"/>
      <c r="K332"/>
      <c r="L332"/>
      <c r="M332"/>
      <c r="N332"/>
      <c r="O332"/>
      <c r="P332"/>
      <c r="Q332"/>
      <c r="R332"/>
      <c r="S332"/>
      <c r="T332"/>
      <c r="U332"/>
      <c r="V332"/>
      <c r="W332"/>
      <c r="X332"/>
      <c r="Y332"/>
    </row>
    <row r="333" spans="1:25">
      <c r="A333" s="1109" t="str">
        <f t="shared" si="5"/>
        <v>IMPEDANCE ANALYSIS INFORMATION ; min apparent impedance angle for Test 9:</v>
      </c>
      <c r="B333" t="s">
        <v>3009</v>
      </c>
      <c r="C333" t="s">
        <v>3185</v>
      </c>
      <c r="D333" t="s">
        <v>3186</v>
      </c>
      <c r="E333" s="964"/>
      <c r="F333" t="s">
        <v>2548</v>
      </c>
      <c r="G333"/>
      <c r="H333"/>
      <c r="I333"/>
      <c r="J333"/>
      <c r="K333"/>
      <c r="L333"/>
      <c r="M333"/>
      <c r="N333"/>
      <c r="O333"/>
      <c r="P333"/>
      <c r="Q333"/>
      <c r="R333"/>
      <c r="S333"/>
      <c r="T333"/>
      <c r="U333"/>
      <c r="V333"/>
      <c r="W333"/>
      <c r="X333"/>
      <c r="Y333"/>
    </row>
    <row r="334" spans="1:25">
      <c r="A334" s="1109" t="str">
        <f t="shared" si="5"/>
        <v>IMPEDANCE ANALYSIS INFORMATION ; max apparent impedance angle for Test 9:</v>
      </c>
      <c r="B334" t="s">
        <v>3009</v>
      </c>
      <c r="C334" t="s">
        <v>3187</v>
      </c>
      <c r="D334" t="s">
        <v>3188</v>
      </c>
      <c r="E334" s="964"/>
      <c r="F334" t="s">
        <v>2548</v>
      </c>
      <c r="G334"/>
      <c r="H334"/>
      <c r="I334"/>
      <c r="J334"/>
      <c r="K334"/>
      <c r="L334"/>
      <c r="M334"/>
      <c r="N334"/>
      <c r="O334"/>
      <c r="P334"/>
      <c r="Q334"/>
      <c r="R334"/>
      <c r="S334"/>
      <c r="T334"/>
      <c r="U334"/>
      <c r="V334"/>
      <c r="W334"/>
      <c r="X334"/>
      <c r="Y334"/>
    </row>
    <row r="335" spans="1:25">
      <c r="A335" s="1109" t="str">
        <f t="shared" si="5"/>
        <v>IMPEDANCE ANALYSIS INFORMATION ; min apparent impedance angle for Test 10:</v>
      </c>
      <c r="B335" t="s">
        <v>3009</v>
      </c>
      <c r="C335" t="s">
        <v>3189</v>
      </c>
      <c r="D335" t="s">
        <v>3190</v>
      </c>
      <c r="E335" s="964"/>
      <c r="F335" t="s">
        <v>2548</v>
      </c>
      <c r="G335"/>
      <c r="H335"/>
      <c r="I335"/>
      <c r="J335"/>
      <c r="K335"/>
      <c r="L335"/>
      <c r="M335"/>
      <c r="N335"/>
      <c r="O335"/>
      <c r="P335"/>
      <c r="Q335"/>
      <c r="R335"/>
      <c r="S335"/>
      <c r="T335"/>
      <c r="U335"/>
      <c r="V335"/>
      <c r="W335"/>
      <c r="X335"/>
      <c r="Y335"/>
    </row>
    <row r="336" spans="1:25">
      <c r="A336" s="1109" t="str">
        <f t="shared" si="5"/>
        <v>IMPEDANCE ANALYSIS INFORMATION ; max apparent impedance angle for Test 10:</v>
      </c>
      <c r="B336" t="s">
        <v>3009</v>
      </c>
      <c r="C336" t="s">
        <v>3191</v>
      </c>
      <c r="D336" t="s">
        <v>3192</v>
      </c>
      <c r="E336" s="964"/>
      <c r="F336" t="s">
        <v>2548</v>
      </c>
      <c r="G336"/>
      <c r="H336"/>
      <c r="I336"/>
      <c r="J336"/>
      <c r="K336"/>
      <c r="L336"/>
      <c r="M336"/>
      <c r="N336"/>
      <c r="O336"/>
      <c r="P336"/>
      <c r="Q336"/>
      <c r="R336"/>
      <c r="S336"/>
      <c r="T336"/>
      <c r="U336"/>
      <c r="V336"/>
      <c r="W336"/>
      <c r="X336"/>
      <c r="Y336"/>
    </row>
    <row r="337" spans="1:25">
      <c r="A337" s="1109" t="str">
        <f t="shared" si="5"/>
        <v>IMPEDANCE ANALYSIS INFORMATION ; min apparent impedance angle for Test 11:</v>
      </c>
      <c r="B337" t="s">
        <v>3009</v>
      </c>
      <c r="C337" t="s">
        <v>3193</v>
      </c>
      <c r="D337" t="s">
        <v>3194</v>
      </c>
      <c r="E337" s="964"/>
      <c r="F337" t="s">
        <v>2548</v>
      </c>
      <c r="G337"/>
      <c r="H337"/>
      <c r="I337"/>
      <c r="J337"/>
      <c r="K337"/>
      <c r="L337"/>
      <c r="M337"/>
      <c r="N337"/>
      <c r="O337"/>
      <c r="P337"/>
      <c r="Q337"/>
      <c r="R337"/>
      <c r="S337"/>
      <c r="T337"/>
      <c r="U337"/>
      <c r="V337"/>
      <c r="W337"/>
      <c r="X337"/>
      <c r="Y337"/>
    </row>
    <row r="338" spans="1:25">
      <c r="A338" s="1109" t="str">
        <f t="shared" si="5"/>
        <v>IMPEDANCE ANALYSIS INFORMATION ; max apparent impedance angle for Test 11:</v>
      </c>
      <c r="B338" t="s">
        <v>3009</v>
      </c>
      <c r="C338" t="s">
        <v>3195</v>
      </c>
      <c r="D338" t="s">
        <v>3196</v>
      </c>
      <c r="E338" s="964"/>
      <c r="F338" t="s">
        <v>2548</v>
      </c>
      <c r="G338"/>
      <c r="H338"/>
      <c r="I338"/>
      <c r="J338"/>
      <c r="K338"/>
      <c r="L338"/>
      <c r="M338"/>
      <c r="N338"/>
      <c r="O338"/>
      <c r="P338"/>
      <c r="Q338"/>
      <c r="R338"/>
      <c r="S338"/>
      <c r="T338"/>
      <c r="U338"/>
      <c r="V338"/>
      <c r="W338"/>
      <c r="X338"/>
      <c r="Y338"/>
    </row>
    <row r="339" spans="1:25">
      <c r="A339" s="1109" t="str">
        <f t="shared" si="5"/>
        <v>IMPEDANCE ANALYSIS INFORMATION ; min apparent impedance angle for Test 12:</v>
      </c>
      <c r="B339" t="s">
        <v>3009</v>
      </c>
      <c r="C339" t="s">
        <v>3197</v>
      </c>
      <c r="D339" t="s">
        <v>3198</v>
      </c>
      <c r="E339" s="964"/>
      <c r="F339" t="s">
        <v>2548</v>
      </c>
      <c r="G339"/>
      <c r="H339"/>
      <c r="I339"/>
      <c r="J339"/>
      <c r="K339"/>
      <c r="L339"/>
      <c r="M339"/>
      <c r="N339"/>
      <c r="O339"/>
      <c r="P339"/>
      <c r="Q339"/>
      <c r="R339"/>
      <c r="S339"/>
      <c r="T339"/>
      <c r="U339"/>
      <c r="V339"/>
      <c r="W339"/>
      <c r="X339"/>
      <c r="Y339"/>
    </row>
    <row r="340" spans="1:25">
      <c r="A340" s="1109" t="str">
        <f t="shared" si="5"/>
        <v>IMPEDANCE ANALYSIS INFORMATION ; max apparent impedance angle for Test 12:</v>
      </c>
      <c r="B340" t="s">
        <v>3009</v>
      </c>
      <c r="C340" t="s">
        <v>3199</v>
      </c>
      <c r="D340" t="s">
        <v>3200</v>
      </c>
      <c r="E340" s="964"/>
      <c r="F340" t="s">
        <v>2548</v>
      </c>
      <c r="G340"/>
      <c r="H340"/>
      <c r="I340"/>
      <c r="J340"/>
      <c r="K340"/>
      <c r="L340"/>
      <c r="M340"/>
      <c r="N340"/>
      <c r="O340"/>
      <c r="P340"/>
      <c r="Q340"/>
      <c r="R340"/>
      <c r="S340"/>
      <c r="T340"/>
      <c r="U340"/>
      <c r="V340"/>
      <c r="W340"/>
      <c r="X340"/>
      <c r="Y340"/>
    </row>
    <row r="341" spans="1:25">
      <c r="A341" s="1109" t="str">
        <f t="shared" si="5"/>
        <v xml:space="preserve"> ; </v>
      </c>
      <c r="B341"/>
      <c r="C341"/>
      <c r="D341"/>
      <c r="E341"/>
      <c r="F341"/>
      <c r="G341"/>
      <c r="H341"/>
      <c r="I341"/>
      <c r="J341"/>
      <c r="K341"/>
      <c r="L341"/>
      <c r="M341"/>
      <c r="N341"/>
      <c r="O341"/>
      <c r="P341"/>
      <c r="Q341"/>
      <c r="R341"/>
      <c r="S341"/>
      <c r="T341"/>
      <c r="U341"/>
      <c r="V341"/>
      <c r="W341"/>
      <c r="X341"/>
      <c r="Y341"/>
    </row>
  </sheetData>
  <sheetProtection algorithmName="SHA-512" hashValue="HuwsLvew+0/JPZyF0HrSLdjmGwxbviUkvWofJg9FGQxOEGrEX/cemCE2pbf8UMjr1lw6v9nbIjn0rQ6A574oeQ==" saltValue="62lmgciBZm1vyh3TxMUpGQ==" spinCount="100000" sheet="1" objects="1" scenarios="1"/>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60E62-E8AC-4F98-B9E0-480FC84A4CBA}">
  <sheetPr codeName="Sheet30"/>
  <dimension ref="B1:AY87"/>
  <sheetViews>
    <sheetView topLeftCell="A4" zoomScale="80" zoomScaleNormal="80" workbookViewId="0">
      <selection activeCell="B4" sqref="B4"/>
    </sheetView>
  </sheetViews>
  <sheetFormatPr defaultColWidth="9.109375" defaultRowHeight="14.4"/>
  <cols>
    <col min="1" max="1" width="3.33203125" style="1045" customWidth="1"/>
    <col min="2" max="2" width="40.33203125" style="1045" bestFit="1" customWidth="1"/>
    <col min="3" max="3" width="20.6640625" style="1045" bestFit="1" customWidth="1"/>
    <col min="4" max="4" width="21.88671875" style="1045" bestFit="1" customWidth="1"/>
    <col min="5" max="5" width="15.33203125" style="1045" customWidth="1"/>
    <col min="6" max="6" width="15.109375" style="1045" bestFit="1" customWidth="1"/>
    <col min="7" max="13" width="8.88671875" style="1045" customWidth="1"/>
    <col min="14" max="14" width="9.109375" style="1045"/>
    <col min="15" max="15" width="8.88671875" style="1045" customWidth="1"/>
    <col min="16" max="16" width="11.6640625" style="1045" customWidth="1"/>
    <col min="17" max="34" width="9.109375" style="1045"/>
    <col min="35" max="35" width="24.33203125" style="1045" bestFit="1" customWidth="1"/>
    <col min="36" max="37" width="12.6640625" style="1045" bestFit="1" customWidth="1"/>
    <col min="38" max="38" width="11.6640625" style="1045" bestFit="1" customWidth="1"/>
    <col min="39" max="39" width="9.109375" style="1045"/>
    <col min="40" max="40" width="12.6640625" style="1045" customWidth="1"/>
    <col min="41" max="41" width="8.44140625" style="1045" customWidth="1"/>
    <col min="42" max="51" width="12.88671875" style="1045" customWidth="1"/>
    <col min="52" max="16384" width="9.109375" style="1045"/>
  </cols>
  <sheetData>
    <row r="1" spans="2:43">
      <c r="AI1" s="1048" t="s">
        <v>3201</v>
      </c>
      <c r="AN1" s="1048" t="s">
        <v>3202</v>
      </c>
    </row>
    <row r="2" spans="2:43">
      <c r="B2" s="1048" t="s">
        <v>3203</v>
      </c>
      <c r="AI2" s="1045" t="s">
        <v>27</v>
      </c>
      <c r="AJ2" s="1045" t="s">
        <v>348</v>
      </c>
      <c r="AK2" s="1045" t="s">
        <v>349</v>
      </c>
      <c r="AL2" s="1045" t="s">
        <v>3204</v>
      </c>
      <c r="AN2" s="1045" t="s">
        <v>27</v>
      </c>
      <c r="AO2" s="1045" t="s">
        <v>348</v>
      </c>
      <c r="AP2" s="1045" t="s">
        <v>349</v>
      </c>
    </row>
    <row r="3" spans="2:43">
      <c r="B3" s="1045" t="str">
        <f>IF(OR($AQ$3="Warning", $AQ$5="Warning", $AQ$7="Warning", $AQ$9="Warning"), "PRC-026 Stability Boundary may be corrupted.", "No warnings.")</f>
        <v>No warnings.</v>
      </c>
      <c r="AI3" s="1045" t="s">
        <v>3205</v>
      </c>
      <c r="AJ3" s="1045">
        <f t="shared" ref="AJ3:AJ33" si="0" xml:space="preserve"> ($C$29 *COS(($C$38+(AL3*((360+$C$39-$C$38)/30)))*PI()/180) + $C$28)</f>
        <v>0</v>
      </c>
      <c r="AK3" s="1045">
        <f t="shared" ref="AK3:AK33" si="1" xml:space="preserve"> ($C$29 *SIN(($C$38+(AL3*((360+$C$39-$C$38)/30)))*PI()/180) + $D$28)</f>
        <v>0</v>
      </c>
      <c r="AL3" s="1045">
        <v>0</v>
      </c>
      <c r="AN3" s="1045" t="s">
        <v>3206</v>
      </c>
      <c r="AO3" s="1045">
        <f xml:space="preserve"> ($C$29 *COS($C$38*PI()/180) + $C$28)</f>
        <v>0</v>
      </c>
      <c r="AP3" s="1045">
        <f xml:space="preserve"> ($C$29 *SIN($C$38*PI()/180) + $D$28)</f>
        <v>0</v>
      </c>
      <c r="AQ3" s="1045" t="str">
        <f>IF(AND(ABS(AO3)&lt;=1.01*ABS(AO10), ABS(AO3)&gt;=0.99*ABS(AO10), ABS(AP3)&lt;=1.01*ABS(AP10), ABS(AP3)&gt;=0.99*ABS(AP10)), "No Warning", "Warning")</f>
        <v>No Warning</v>
      </c>
    </row>
    <row r="4" spans="2:43">
      <c r="AI4" s="1045" t="s">
        <v>3207</v>
      </c>
      <c r="AJ4" s="1045">
        <f t="shared" si="0"/>
        <v>0</v>
      </c>
      <c r="AK4" s="1045">
        <f t="shared" si="1"/>
        <v>0</v>
      </c>
      <c r="AL4" s="1045">
        <f t="shared" ref="AL4:AL33" si="2">AL3+1</f>
        <v>1</v>
      </c>
      <c r="AN4" s="1045" t="s">
        <v>3208</v>
      </c>
      <c r="AO4" s="1045">
        <f xml:space="preserve"> ($C$29 *COS($C$39*PI()/180) + $C$28)</f>
        <v>0</v>
      </c>
      <c r="AP4" s="1045">
        <f xml:space="preserve"> ($C$29 *SIN($C$39*PI()/180) + $D$28)</f>
        <v>0</v>
      </c>
    </row>
    <row r="5" spans="2:43">
      <c r="B5" s="2248" t="s">
        <v>3209</v>
      </c>
      <c r="C5" s="2249"/>
      <c r="D5" s="2250"/>
      <c r="AI5" s="1045" t="s">
        <v>3210</v>
      </c>
      <c r="AJ5" s="1045">
        <f t="shared" si="0"/>
        <v>0</v>
      </c>
      <c r="AK5" s="1045">
        <f t="shared" si="1"/>
        <v>0</v>
      </c>
      <c r="AL5" s="1045">
        <f t="shared" si="2"/>
        <v>2</v>
      </c>
      <c r="AN5" s="1045" t="s">
        <v>3211</v>
      </c>
      <c r="AO5" s="1045">
        <f xml:space="preserve"> ($C$33 *COS($C$42*PI()/180) + $C$32)</f>
        <v>0</v>
      </c>
      <c r="AP5" s="1045">
        <f xml:space="preserve"> ($C$33 *SIN($C$42*PI()/180) + $D$32)</f>
        <v>0</v>
      </c>
      <c r="AQ5" s="1045" t="str">
        <f>IF(AND(ABS(AO5)&lt;=1.01*ABS(AO4), ABS(AO5)&gt;=0.99*ABS(AO4), ABS(AP5)&lt;=1.01*ABS(AP4), ABS(AP5)&gt;=0.99*ABS(AP4)), "No Warning", "Warning")</f>
        <v>No Warning</v>
      </c>
    </row>
    <row r="6" spans="2:43">
      <c r="B6" s="1047"/>
      <c r="C6" s="1047" t="s">
        <v>3212</v>
      </c>
      <c r="D6" s="1047" t="s">
        <v>3213</v>
      </c>
      <c r="AI6" s="1045" t="s">
        <v>3214</v>
      </c>
      <c r="AJ6" s="1045">
        <f t="shared" si="0"/>
        <v>0</v>
      </c>
      <c r="AK6" s="1045">
        <f t="shared" si="1"/>
        <v>0</v>
      </c>
      <c r="AL6" s="1045">
        <f t="shared" si="2"/>
        <v>3</v>
      </c>
      <c r="AN6" s="1045" t="s">
        <v>3215</v>
      </c>
      <c r="AO6" s="1045">
        <f xml:space="preserve"> ($C$33 *COS($C$43*PI()/180) + $C$32)</f>
        <v>0</v>
      </c>
      <c r="AP6" s="1045">
        <f xml:space="preserve"> ($C$33 *SIN($C$43*PI()/180) + $D$32)</f>
        <v>0</v>
      </c>
    </row>
    <row r="7" spans="2:43">
      <c r="B7" s="1047" t="s">
        <v>2571</v>
      </c>
      <c r="C7" s="1047">
        <f>VLOOKUP("NETWORK INFORMATION ; Table: Total Pos. Seq. Impedance, Row 1", 'SDA Translation Table'!A:Y, 7, FALSE)</f>
        <v>0</v>
      </c>
      <c r="D7" s="1047">
        <f>VLOOKUP("NETWORK INFORMATION ; Table: Total Pos. Seq. Impedance, Row 1", 'SDA Translation Table'!A:Y, 9, FALSE)</f>
        <v>0</v>
      </c>
      <c r="AI7" s="1045" t="s">
        <v>3216</v>
      </c>
      <c r="AJ7" s="1045">
        <f t="shared" si="0"/>
        <v>0</v>
      </c>
      <c r="AK7" s="1045">
        <f t="shared" si="1"/>
        <v>0</v>
      </c>
      <c r="AL7" s="1045">
        <f t="shared" si="2"/>
        <v>4</v>
      </c>
      <c r="AN7" s="1045" t="s">
        <v>3217</v>
      </c>
      <c r="AO7" s="1045">
        <f xml:space="preserve"> ($C$31 *COS($C$40*PI()/180) + $C$30)</f>
        <v>0</v>
      </c>
      <c r="AP7" s="1045">
        <f xml:space="preserve"> ($C$31 *SIN($C$40*PI()/180) + $D$30)</f>
        <v>0</v>
      </c>
      <c r="AQ7" s="1045" t="str">
        <f>IF(AND(ABS(AO7)&lt;=1.01*ABS(AO6), ABS(AO7)&gt;=0.99*ABS(AO6), ABS(AP7)&lt;=1.01*ABS(AP6), ABS(AP7)&gt;=0.99*ABS(AP6)), "No Warning", "Warning")</f>
        <v>No Warning</v>
      </c>
    </row>
    <row r="8" spans="2:43">
      <c r="AI8" s="1045" t="s">
        <v>3218</v>
      </c>
      <c r="AJ8" s="1045">
        <f t="shared" si="0"/>
        <v>0</v>
      </c>
      <c r="AK8" s="1045">
        <f t="shared" si="1"/>
        <v>0</v>
      </c>
      <c r="AL8" s="1045">
        <f t="shared" si="2"/>
        <v>5</v>
      </c>
      <c r="AN8" s="1045" t="s">
        <v>3219</v>
      </c>
      <c r="AO8" s="1045">
        <f xml:space="preserve"> ($C$31 *COS($C$41*PI()/180) + $C$30)</f>
        <v>0</v>
      </c>
      <c r="AP8" s="1045">
        <f xml:space="preserve"> ($C$31 *SIN($C$41*PI()/180) + $D$30)</f>
        <v>0</v>
      </c>
    </row>
    <row r="9" spans="2:43">
      <c r="B9" s="2248" t="s">
        <v>3220</v>
      </c>
      <c r="C9" s="2249"/>
      <c r="D9" s="2249"/>
      <c r="E9" s="2249"/>
      <c r="F9" s="2250"/>
      <c r="AI9" s="1045" t="s">
        <v>3221</v>
      </c>
      <c r="AJ9" s="1045">
        <f t="shared" si="0"/>
        <v>0</v>
      </c>
      <c r="AK9" s="1045">
        <f t="shared" si="1"/>
        <v>0</v>
      </c>
      <c r="AL9" s="1045">
        <f t="shared" si="2"/>
        <v>6</v>
      </c>
      <c r="AN9" s="1045" t="s">
        <v>3222</v>
      </c>
      <c r="AO9" s="1045">
        <f xml:space="preserve"> ($C$35 *COS($C$44*PI()/180) + $C$34)</f>
        <v>0</v>
      </c>
      <c r="AP9" s="1045">
        <f xml:space="preserve"> ($C$35 *SIN($C$44*PI()/180) + $D$34)</f>
        <v>0</v>
      </c>
      <c r="AQ9" s="1045" t="str">
        <f>IF(AND(ABS(AO9)&lt;=1.01*ABS(AO8), ABS(AO9)&gt;=0.99*ABS(AO8), ABS(AP9)&lt;=1.01*ABS(AP8), ABS(AP9)&gt;=0.99*ABS(AP8)), "No Warning", "Warning")</f>
        <v>No Warning</v>
      </c>
    </row>
    <row r="10" spans="2:43">
      <c r="B10" s="1047"/>
      <c r="C10" s="1047" t="s">
        <v>3223</v>
      </c>
      <c r="D10" s="1047" t="s">
        <v>3224</v>
      </c>
      <c r="E10" s="1047" t="s">
        <v>3213</v>
      </c>
      <c r="F10" s="1047" t="s">
        <v>3225</v>
      </c>
      <c r="AI10" s="1045" t="s">
        <v>3226</v>
      </c>
      <c r="AJ10" s="1045">
        <f t="shared" si="0"/>
        <v>0</v>
      </c>
      <c r="AK10" s="1045">
        <f t="shared" si="1"/>
        <v>0</v>
      </c>
      <c r="AL10" s="1045">
        <f t="shared" si="2"/>
        <v>7</v>
      </c>
      <c r="AN10" s="1045" t="s">
        <v>3227</v>
      </c>
      <c r="AO10" s="1045">
        <f xml:space="preserve"> ($C$35 *COS($C$45*PI()/180) + $C$34)</f>
        <v>0</v>
      </c>
      <c r="AP10" s="1045">
        <f xml:space="preserve"> ($C$35 *SIN($C$45*PI()/180) + $D$34)</f>
        <v>0</v>
      </c>
    </row>
    <row r="11" spans="2:43">
      <c r="B11" s="1047" t="s">
        <v>3228</v>
      </c>
      <c r="C11" s="1047">
        <v>15</v>
      </c>
      <c r="D11" s="1047">
        <v>0</v>
      </c>
      <c r="E11" s="1047">
        <v>83</v>
      </c>
      <c r="F11" s="1047" t="s">
        <v>1481</v>
      </c>
      <c r="AI11" s="1045" t="s">
        <v>3229</v>
      </c>
      <c r="AJ11" s="1045">
        <f t="shared" si="0"/>
        <v>0</v>
      </c>
      <c r="AK11" s="1045">
        <f t="shared" si="1"/>
        <v>0</v>
      </c>
      <c r="AL11" s="1045">
        <f t="shared" si="2"/>
        <v>8</v>
      </c>
    </row>
    <row r="12" spans="2:43">
      <c r="B12" s="1047" t="s">
        <v>3230</v>
      </c>
      <c r="C12" s="1047">
        <v>21</v>
      </c>
      <c r="D12" s="1047">
        <v>0</v>
      </c>
      <c r="E12" s="1047">
        <v>83</v>
      </c>
      <c r="F12" s="1047" t="s">
        <v>1481</v>
      </c>
      <c r="AI12" s="1045" t="s">
        <v>3231</v>
      </c>
      <c r="AJ12" s="1045">
        <f t="shared" si="0"/>
        <v>0</v>
      </c>
      <c r="AK12" s="1045">
        <f t="shared" si="1"/>
        <v>0</v>
      </c>
      <c r="AL12" s="1045">
        <f t="shared" si="2"/>
        <v>9</v>
      </c>
      <c r="AN12" s="1048" t="s">
        <v>2571</v>
      </c>
    </row>
    <row r="13" spans="2:43">
      <c r="B13" s="1047" t="s">
        <v>3232</v>
      </c>
      <c r="C13" s="1047">
        <v>25</v>
      </c>
      <c r="D13" s="1047">
        <v>2</v>
      </c>
      <c r="E13" s="1047">
        <v>83</v>
      </c>
      <c r="F13" s="1047" t="s">
        <v>348</v>
      </c>
      <c r="AI13" s="1045" t="s">
        <v>3233</v>
      </c>
      <c r="AJ13" s="1045">
        <f t="shared" si="0"/>
        <v>0</v>
      </c>
      <c r="AK13" s="1045">
        <f t="shared" si="1"/>
        <v>0</v>
      </c>
      <c r="AL13" s="1045">
        <f t="shared" si="2"/>
        <v>10</v>
      </c>
      <c r="AN13" s="1045" t="s">
        <v>27</v>
      </c>
      <c r="AO13" s="1045" t="s">
        <v>348</v>
      </c>
      <c r="AP13" s="1045" t="s">
        <v>349</v>
      </c>
    </row>
    <row r="14" spans="2:43">
      <c r="B14" s="1047" t="s">
        <v>3234</v>
      </c>
      <c r="C14" s="1047">
        <v>0</v>
      </c>
      <c r="D14" s="1047">
        <v>0</v>
      </c>
      <c r="E14" s="1047">
        <v>83</v>
      </c>
      <c r="F14" s="1047" t="s">
        <v>348</v>
      </c>
      <c r="AI14" s="1045" t="s">
        <v>3235</v>
      </c>
      <c r="AJ14" s="1045">
        <f t="shared" si="0"/>
        <v>0</v>
      </c>
      <c r="AK14" s="1045">
        <f t="shared" si="1"/>
        <v>0</v>
      </c>
      <c r="AL14" s="1045">
        <f t="shared" si="2"/>
        <v>11</v>
      </c>
      <c r="AN14" s="1045" t="s">
        <v>3205</v>
      </c>
      <c r="AO14" s="1045">
        <v>0</v>
      </c>
      <c r="AP14" s="1045">
        <v>0</v>
      </c>
    </row>
    <row r="15" spans="2:43">
      <c r="B15" s="1047" t="s">
        <v>3236</v>
      </c>
      <c r="C15" s="1047">
        <v>0</v>
      </c>
      <c r="D15" s="1047">
        <v>0</v>
      </c>
      <c r="E15" s="1047">
        <v>83</v>
      </c>
      <c r="F15" s="1047" t="s">
        <v>1481</v>
      </c>
      <c r="AI15" s="1045" t="s">
        <v>3237</v>
      </c>
      <c r="AJ15" s="1045">
        <f t="shared" si="0"/>
        <v>0</v>
      </c>
      <c r="AK15" s="1045">
        <f t="shared" si="1"/>
        <v>0</v>
      </c>
      <c r="AL15" s="1045">
        <f t="shared" si="2"/>
        <v>12</v>
      </c>
      <c r="AN15" s="1045" t="s">
        <v>3207</v>
      </c>
      <c r="AO15" s="1045">
        <f>C7*COS(D7*(PI()/180))</f>
        <v>0</v>
      </c>
      <c r="AP15" s="1045">
        <f>C7*SIN(D7*(PI()/180))</f>
        <v>0</v>
      </c>
    </row>
    <row r="16" spans="2:43">
      <c r="AI16" s="1045" t="s">
        <v>3238</v>
      </c>
      <c r="AJ16" s="1045">
        <f t="shared" si="0"/>
        <v>0</v>
      </c>
      <c r="AK16" s="1045">
        <f t="shared" si="1"/>
        <v>0</v>
      </c>
      <c r="AL16" s="1045">
        <f t="shared" si="2"/>
        <v>13</v>
      </c>
    </row>
    <row r="17" spans="2:51">
      <c r="B17" s="2248" t="s">
        <v>3239</v>
      </c>
      <c r="C17" s="2249"/>
      <c r="D17" s="2250"/>
      <c r="AI17" s="1045" t="s">
        <v>3240</v>
      </c>
      <c r="AJ17" s="1045">
        <f t="shared" si="0"/>
        <v>0</v>
      </c>
      <c r="AK17" s="1045">
        <f t="shared" si="1"/>
        <v>0</v>
      </c>
      <c r="AL17" s="1045">
        <f t="shared" si="2"/>
        <v>14</v>
      </c>
      <c r="AN17" s="1048" t="s">
        <v>3241</v>
      </c>
    </row>
    <row r="18" spans="2:51">
      <c r="B18" s="1047" t="s">
        <v>27</v>
      </c>
      <c r="C18" s="1047" t="s">
        <v>3242</v>
      </c>
      <c r="D18" s="1047" t="s">
        <v>3243</v>
      </c>
      <c r="AI18" s="1045" t="s">
        <v>3244</v>
      </c>
      <c r="AJ18" s="1045">
        <f t="shared" si="0"/>
        <v>0</v>
      </c>
      <c r="AK18" s="1045">
        <f t="shared" si="1"/>
        <v>0</v>
      </c>
      <c r="AL18" s="1045">
        <f t="shared" si="2"/>
        <v>15</v>
      </c>
      <c r="AN18" s="1045" t="s">
        <v>27</v>
      </c>
      <c r="AO18" s="1045" t="s">
        <v>348</v>
      </c>
      <c r="AP18" s="1045" t="s">
        <v>349</v>
      </c>
    </row>
    <row r="19" spans="2:51">
      <c r="B19" s="1047" t="s">
        <v>3245</v>
      </c>
      <c r="C19" s="1047">
        <f>VLOOKUP("PRC-026 COMPLIANCE INFORMATION ; Table: PRC-026 Information, Row 1", 'SDA Translation Table'!A:Y, 7, FALSE)</f>
        <v>0</v>
      </c>
      <c r="D19" s="1047">
        <f>VLOOKUP("PRC-026 COMPLIANCE INFORMATION ; Table: PRC-026 Information, Row 1", 'SDA Translation Table'!A:Y, 9, FALSE)</f>
        <v>0</v>
      </c>
      <c r="AI19" s="1045" t="s">
        <v>3246</v>
      </c>
      <c r="AJ19" s="1045">
        <f t="shared" si="0"/>
        <v>0</v>
      </c>
      <c r="AK19" s="1045">
        <f t="shared" si="1"/>
        <v>0</v>
      </c>
      <c r="AL19" s="1045">
        <f t="shared" si="2"/>
        <v>16</v>
      </c>
      <c r="AN19" s="1045" t="s">
        <v>3205</v>
      </c>
      <c r="AO19" s="1045">
        <f>-C19</f>
        <v>0</v>
      </c>
      <c r="AP19" s="1045">
        <f>-D19</f>
        <v>0</v>
      </c>
    </row>
    <row r="20" spans="2:51">
      <c r="B20" s="1047" t="s">
        <v>3247</v>
      </c>
      <c r="C20" s="1047">
        <f>VLOOKUP("PRC-026 COMPLIANCE INFORMATION ; Table: PRC-026 Information, Row 2", 'SDA Translation Table'!A:Y, 7, FALSE)</f>
        <v>0</v>
      </c>
      <c r="D20" s="1047">
        <f>VLOOKUP("PRC-026 COMPLIANCE INFORMATION ; Table: PRC-026 Information, Row 2", 'SDA Translation Table'!A:Y, 9, FALSE)</f>
        <v>0</v>
      </c>
      <c r="AI20" s="1045" t="s">
        <v>3248</v>
      </c>
      <c r="AJ20" s="1045">
        <f t="shared" si="0"/>
        <v>0</v>
      </c>
      <c r="AK20" s="1045">
        <f t="shared" si="1"/>
        <v>0</v>
      </c>
      <c r="AL20" s="1045">
        <f t="shared" si="2"/>
        <v>17</v>
      </c>
      <c r="AN20" s="1045" t="s">
        <v>3207</v>
      </c>
      <c r="AO20" s="1045">
        <f>C20+C21</f>
        <v>0</v>
      </c>
      <c r="AP20" s="1045">
        <f>D20+D21</f>
        <v>0</v>
      </c>
    </row>
    <row r="21" spans="2:51">
      <c r="B21" s="1047" t="s">
        <v>3249</v>
      </c>
      <c r="C21" s="1047">
        <f>VLOOKUP("PRC-026 COMPLIANCE INFORMATION ; Table: PRC-026 Information, Row 3", 'SDA Translation Table'!A:Y, 7, FALSE)</f>
        <v>0</v>
      </c>
      <c r="D21" s="1047">
        <f>VLOOKUP("PRC-026 COMPLIANCE INFORMATION ; Table: PRC-026 Information, Row 3", 'SDA Translation Table'!A:Y, 9, FALSE)</f>
        <v>0</v>
      </c>
      <c r="AI21" s="1045" t="s">
        <v>3250</v>
      </c>
      <c r="AJ21" s="1045">
        <f t="shared" si="0"/>
        <v>0</v>
      </c>
      <c r="AK21" s="1045">
        <f t="shared" si="1"/>
        <v>0</v>
      </c>
      <c r="AL21" s="1045">
        <f t="shared" si="2"/>
        <v>18</v>
      </c>
    </row>
    <row r="22" spans="2:51">
      <c r="B22" s="1047" t="s">
        <v>3251</v>
      </c>
      <c r="C22" s="1047">
        <f>VLOOKUP("PRC-026 COMPLIANCE INFORMATION ; Table: PRC-026 Information, Row 12", 'SDA Translation Table'!A:Y, 7, FALSE)</f>
        <v>0</v>
      </c>
      <c r="D22" s="1047">
        <f>VLOOKUP("PRC-026 COMPLIANCE INFORMATION ; Table: PRC-026 Information, Row 12", 'SDA Translation Table'!A:Y, 9, FALSE)</f>
        <v>0</v>
      </c>
      <c r="AI22" s="1045" t="s">
        <v>3252</v>
      </c>
      <c r="AJ22" s="1045">
        <f t="shared" si="0"/>
        <v>0</v>
      </c>
      <c r="AK22" s="1045">
        <f t="shared" si="1"/>
        <v>0</v>
      </c>
      <c r="AL22" s="1045">
        <f t="shared" si="2"/>
        <v>19</v>
      </c>
      <c r="AN22" s="1048" t="s">
        <v>3253</v>
      </c>
    </row>
    <row r="23" spans="2:51">
      <c r="B23" s="1047" t="s">
        <v>3254</v>
      </c>
      <c r="C23" s="1047">
        <f>VLOOKUP("PRC-026 COMPLIANCE INFORMATION ; Table: PRC-026 Information, Row 13", 'SDA Translation Table'!A:Y, 7, FALSE)</f>
        <v>0</v>
      </c>
      <c r="D23" s="1047">
        <f>VLOOKUP("PRC-026 COMPLIANCE INFORMATION ; Table: PRC-026 Information, Row 13", 'SDA Translation Table'!A:Y, 9, FALSE)</f>
        <v>0</v>
      </c>
      <c r="AI23" s="1045" t="s">
        <v>3255</v>
      </c>
      <c r="AJ23" s="1045">
        <f t="shared" si="0"/>
        <v>0</v>
      </c>
      <c r="AK23" s="1045">
        <f t="shared" si="1"/>
        <v>0</v>
      </c>
      <c r="AL23" s="1045">
        <f t="shared" si="2"/>
        <v>20</v>
      </c>
      <c r="AP23" s="1045" t="s">
        <v>3256</v>
      </c>
      <c r="AR23" s="1045" t="s">
        <v>3257</v>
      </c>
      <c r="AT23" s="1045" t="s">
        <v>3258</v>
      </c>
      <c r="AV23" s="1045" t="s">
        <v>3259</v>
      </c>
      <c r="AX23" s="1045" t="s">
        <v>3260</v>
      </c>
    </row>
    <row r="24" spans="2:51">
      <c r="B24" s="1047" t="s">
        <v>3261</v>
      </c>
      <c r="C24" s="1047">
        <f>VLOOKUP("PRC-026 COMPLIANCE INFORMATION ; Table: PRC-026 Information, Row 14", 'SDA Translation Table'!A:Y, 7, FALSE)</f>
        <v>0</v>
      </c>
      <c r="D24" s="1047">
        <f>VLOOKUP("PRC-026 COMPLIANCE INFORMATION ; Table: PRC-026 Information, Row 14", 'SDA Translation Table'!A:Y, 9, FALSE)</f>
        <v>0</v>
      </c>
      <c r="AI24" s="1045" t="s">
        <v>3262</v>
      </c>
      <c r="AJ24" s="1045">
        <f t="shared" si="0"/>
        <v>0</v>
      </c>
      <c r="AK24" s="1045">
        <f t="shared" si="1"/>
        <v>0</v>
      </c>
      <c r="AL24" s="1045">
        <f t="shared" si="2"/>
        <v>21</v>
      </c>
      <c r="AN24" s="1045" t="s">
        <v>3263</v>
      </c>
      <c r="AO24" s="1045" t="s">
        <v>753</v>
      </c>
      <c r="AP24" s="1045" t="s">
        <v>348</v>
      </c>
      <c r="AQ24" s="1045" t="s">
        <v>349</v>
      </c>
      <c r="AR24" s="1045" t="s">
        <v>348</v>
      </c>
      <c r="AS24" s="1045" t="s">
        <v>349</v>
      </c>
      <c r="AT24" s="1045" t="s">
        <v>348</v>
      </c>
      <c r="AU24" s="1045" t="s">
        <v>349</v>
      </c>
      <c r="AV24" s="1045" t="s">
        <v>348</v>
      </c>
      <c r="AW24" s="1045" t="s">
        <v>349</v>
      </c>
      <c r="AX24" s="1045" t="s">
        <v>348</v>
      </c>
      <c r="AY24" s="1045" t="s">
        <v>349</v>
      </c>
    </row>
    <row r="25" spans="2:51">
      <c r="B25" s="1047" t="s">
        <v>3264</v>
      </c>
      <c r="C25" s="1047">
        <f>VLOOKUP("PRC-026 COMPLIANCE INFORMATION ; Table: PRC-026 Information, Row 15", 'SDA Translation Table'!A:Y, 7, FALSE)</f>
        <v>0</v>
      </c>
      <c r="D25" s="1047">
        <f>VLOOKUP("PRC-026 COMPLIANCE INFORMATION ; Table: PRC-026 Information, Row 15", 'SDA Translation Table'!A:Y, 9, FALSE)</f>
        <v>0</v>
      </c>
      <c r="AI25" s="1045" t="s">
        <v>3265</v>
      </c>
      <c r="AJ25" s="1045">
        <f t="shared" si="0"/>
        <v>0</v>
      </c>
      <c r="AK25" s="1045">
        <f t="shared" si="1"/>
        <v>0</v>
      </c>
      <c r="AL25" s="1045">
        <f t="shared" si="2"/>
        <v>22</v>
      </c>
      <c r="AN25" s="1045" t="s">
        <v>3205</v>
      </c>
      <c r="AO25" s="1045">
        <v>-90</v>
      </c>
      <c r="AP25" s="1045">
        <f t="shared" ref="AP25:AP70" si="3">IF($F$11="R",  (($C$11 + $D$11)/2) *COS((180 + $AO25)*(PI()/180)) + ($C$11/2*COS((180 + $E$11)*(PI()/180))) + ($D$11/2*COS(($E$11)*(PI()/180))),(($C$11 + $D$11)/2) *COS($AO25*(PI()/180)) + ($C$11/2*COS($E$11*(PI()/180))) + ($D$11/2*COS((180 + $E$11)*(PI()/180))))</f>
        <v>0.91402007553860665</v>
      </c>
      <c r="AQ25" s="1045">
        <f t="shared" ref="AQ25:AQ70" si="4">IF($F$11="R",  (($C$11 + $D$11)/2) *SIN((180 + $AO25)*(PI()/180)) + ($C$11/2*SIN((180 + $E$11)*(PI()/180))) + ($D$11/2*SIN(($E$11)*(PI()/180))),(($C$11 + $D$11)/2) *SIN($AO25*(PI()/180)) + ($C$11/2*SIN($E$11*(PI()/180))) + ($D$11/2*SIN((180 + $E$11)*(PI()/180))))</f>
        <v>-5.5903862690085404E-2</v>
      </c>
      <c r="AR25" s="1045">
        <f t="shared" ref="AR25:AR70" si="5">IF($F$12="R",  (($C$12 + $D$12)/2) *COS((180 + $AO25)*(PI()/180)) + ($C$12/2*COS((180 + $E$12)*(PI()/180))) + ($D$12/2*COS(($E$12)*(PI()/180))),(($C$12 + $D$12)/2) *COS($AO25*(PI()/180)) + ($C$12/2*COS($E$12*(PI()/180))) + ($D$12/2*COS((180 + $E$12)*(PI()/180))))</f>
        <v>1.2796281057540493</v>
      </c>
      <c r="AS25" s="1045">
        <f t="shared" ref="AS25:AS70" si="6">IF($F$12="R",  (($C$12 + $D$12)/2) *SIN((180 + $AO25)*(PI()/180)) + ($C$12/2*SIN((180 + $E$12)*(PI()/180))) + ($D$12/2*SIN(($E$12)*(PI()/180))),(($C$12 + $D$12)/2) *SIN($AO25*(PI()/180)) + ($C$12/2*SIN($E$12*(PI()/180))) + ($D$12/2*SIN((180 + $E$12)*(PI()/180))))</f>
        <v>-7.8265407766119566E-2</v>
      </c>
      <c r="AT25" s="1045">
        <f t="shared" ref="AT25:AT70" si="7">IF($F$13="R",  (($C$13 + $D$13)/2) *COS((180 + $AO25)*(PI()/180)) + ($C$13/2*COS((180 + $E$13)*(PI()/180))) + ($D$13/2*COS(($E$13)*(PI()/180))),(($C$13 + $D$13)/2) *COS($AO25*(PI()/180)) + ($C$13/2*COS($E$13*(PI()/180))) + ($D$13/2*COS((180 + $E$13)*(PI()/180))))</f>
        <v>-1.4014974491591914</v>
      </c>
      <c r="AU25" s="1045">
        <f t="shared" ref="AU25:AU70" si="8">IF($F$13="R",  (($C$13 + $D$13)/2) *SIN((180 + $AO25)*(PI()/180)) + ($C$13/2*SIN((180 + $E$13)*(PI()/180))) + ($D$13/2*SIN(($E$13)*(PI()/180))),(($C$13 + $D$13)/2) *SIN($AO25*(PI()/180)) + ($C$13/2*SIN($E$13*(PI()/180))) + ($D$13/2*SIN((180 + $E$13)*(PI()/180))))</f>
        <v>2.0857192561247966</v>
      </c>
      <c r="AV25" s="1045">
        <f t="shared" ref="AV25:AV70" si="9">IF($F$14="R",  (($C$14 + $D$14)/2) *COS((180 + $AO25)*(PI()/180)) + ($C$14/2*COS((180 + $E$14)*(PI()/180))) + ($D$14/2*COS(($E$14)*(PI()/180))),(($C$14 + $D$14)/2) *COS($AO25*(PI()/180)) + ($C$14/2*COS($E$14*(PI()/180))) + ($D$14/2*COS((180 + $E$14)*(PI()/180))))</f>
        <v>0</v>
      </c>
      <c r="AW25" s="1045">
        <f t="shared" ref="AW25:AW70" si="10">IF($F$14="R",  (($C$14 + $D$14)/2) *SIN((180 + $AO25)*(PI()/180)) + ($C$14/2*SIN((180 + $E$14)*(PI()/180))) + ($D$14/2*SIN(($E$14)*(PI()/180))),(($C$14 + $D$14)/2) *SIN($AO25*(PI()/180)) + ($C$14/2*SIN($E$14*(PI()/180))) + ($D$14/2*SIN((180 + $E$14)*(PI()/180))))</f>
        <v>0</v>
      </c>
      <c r="AX25" s="1045">
        <f t="shared" ref="AX25:AX70" si="11">IF($F$15="R",  (($C$15 + $D$15)/2) *COS((180 + $AO25)*(PI()/180)) + ($C$15/2*COS((180 + $E$15)*(PI()/180))) + ($D$15/2*COS(($E$15)*(PI()/180))),(($C$15 + $D$15)/2) *COS($AO25*(PI()/180)) + ($C$15/2*COS($E$15*(PI()/180))) + ($D$15/2*COS((180 + $E$15)*(PI()/180))))</f>
        <v>0</v>
      </c>
      <c r="AY25" s="1045">
        <f t="shared" ref="AY25:AY70" si="12">IF($F$15="R",  (($C$15 + $D$15)/2) *SIN((180 + $AO25)*(PI()/180)) + ($C$15/2*SIN((180 + $E$15)*(PI()/180))) + ($D$15/2*SIN(($E$15)*(PI()/180))),(($C$15 + $D$15)/2) *SIN($AO25*(PI()/180)) + ($C$15/2*SIN($E$15*(PI()/180))) + ($D$15/2*SIN((180 + $E$15)*(PI()/180))))</f>
        <v>0</v>
      </c>
    </row>
    <row r="26" spans="2:51">
      <c r="B26" s="1047" t="s">
        <v>3266</v>
      </c>
      <c r="C26" s="1047">
        <f>VLOOKUP("PRC-026 COMPLIANCE INFORMATION ; Table: PRC-026 Information, Row 16", 'SDA Translation Table'!A:Y, 7, FALSE)</f>
        <v>0</v>
      </c>
      <c r="D26" s="1047">
        <f>VLOOKUP("PRC-026 COMPLIANCE INFORMATION ; Table: PRC-026 Information, Row 16", 'SDA Translation Table'!A:Y, 9, FALSE)</f>
        <v>0</v>
      </c>
      <c r="AI26" s="1045" t="s">
        <v>3267</v>
      </c>
      <c r="AJ26" s="1045">
        <f t="shared" si="0"/>
        <v>0</v>
      </c>
      <c r="AK26" s="1045">
        <f t="shared" si="1"/>
        <v>0</v>
      </c>
      <c r="AL26" s="1045">
        <f t="shared" si="2"/>
        <v>23</v>
      </c>
      <c r="AN26" s="1045" t="s">
        <v>3207</v>
      </c>
      <c r="AO26" s="1045">
        <f t="shared" ref="AO26:AO70" si="13">AO25+10</f>
        <v>-80</v>
      </c>
      <c r="AP26" s="1045">
        <f t="shared" si="3"/>
        <v>2.2163814080405841</v>
      </c>
      <c r="AQ26" s="1045">
        <f t="shared" si="4"/>
        <v>5.8037989718354055E-2</v>
      </c>
      <c r="AR26" s="1045">
        <f t="shared" si="5"/>
        <v>3.1029339712568182</v>
      </c>
      <c r="AS26" s="1045">
        <f t="shared" si="6"/>
        <v>8.1253185605696387E-2</v>
      </c>
      <c r="AT26" s="1045">
        <f t="shared" si="7"/>
        <v>-3.7457478476627513</v>
      </c>
      <c r="AU26" s="1045">
        <f t="shared" si="8"/>
        <v>1.8806239217896041</v>
      </c>
      <c r="AV26" s="1045">
        <f t="shared" si="9"/>
        <v>0</v>
      </c>
      <c r="AW26" s="1045">
        <f t="shared" si="10"/>
        <v>0</v>
      </c>
      <c r="AX26" s="1045">
        <f t="shared" si="11"/>
        <v>0</v>
      </c>
      <c r="AY26" s="1045">
        <f t="shared" si="12"/>
        <v>0</v>
      </c>
    </row>
    <row r="27" spans="2:51">
      <c r="B27" s="1047" t="s">
        <v>3268</v>
      </c>
      <c r="C27" s="1047">
        <f>VLOOKUP("PRC-026 COMPLIANCE INFORMATION ; Table: PRC-026 Information, Row 17", 'SDA Translation Table'!A:Y, 7, FALSE)</f>
        <v>0</v>
      </c>
      <c r="D27" s="1047">
        <f>VLOOKUP("PRC-026 COMPLIANCE INFORMATION ; Table: PRC-026 Information, Row 17", 'SDA Translation Table'!A:Y, 9, FALSE)</f>
        <v>0</v>
      </c>
      <c r="AI27" s="1045" t="s">
        <v>3269</v>
      </c>
      <c r="AJ27" s="1045">
        <f t="shared" si="0"/>
        <v>0</v>
      </c>
      <c r="AK27" s="1045">
        <f t="shared" si="1"/>
        <v>0</v>
      </c>
      <c r="AL27" s="1045">
        <f t="shared" si="2"/>
        <v>24</v>
      </c>
      <c r="AN27" s="1045" t="s">
        <v>3210</v>
      </c>
      <c r="AO27" s="1045">
        <f t="shared" si="13"/>
        <v>-70</v>
      </c>
      <c r="AP27" s="1045">
        <f t="shared" si="3"/>
        <v>3.4791711504811227</v>
      </c>
      <c r="AQ27" s="1045">
        <f t="shared" si="4"/>
        <v>0.3964014814156025</v>
      </c>
      <c r="AR27" s="1045">
        <f t="shared" si="5"/>
        <v>4.8708396106735714</v>
      </c>
      <c r="AS27" s="1045">
        <f t="shared" si="6"/>
        <v>0.55496207398184261</v>
      </c>
      <c r="AT27" s="1045">
        <f t="shared" si="7"/>
        <v>-6.0187693840557204</v>
      </c>
      <c r="AU27" s="1045">
        <f t="shared" si="8"/>
        <v>1.271569636734561</v>
      </c>
      <c r="AV27" s="1045">
        <f t="shared" si="9"/>
        <v>0</v>
      </c>
      <c r="AW27" s="1045">
        <f t="shared" si="10"/>
        <v>0</v>
      </c>
      <c r="AX27" s="1045">
        <f t="shared" si="11"/>
        <v>0</v>
      </c>
      <c r="AY27" s="1045">
        <f t="shared" si="12"/>
        <v>0</v>
      </c>
    </row>
    <row r="28" spans="2:51">
      <c r="B28" s="1047" t="s">
        <v>3270</v>
      </c>
      <c r="C28" s="1047">
        <f>VLOOKUP("PRC-026 COMPLIANCE INFORMATION ; Table: PRC-026 Information, Row 4", 'SDA Translation Table'!A:Y, 7, FALSE)</f>
        <v>0</v>
      </c>
      <c r="D28" s="1047">
        <f>VLOOKUP("PRC-026 COMPLIANCE INFORMATION ; Table: PRC-026 Information, Row 4", 'SDA Translation Table'!A:Y, 9, FALSE)</f>
        <v>0</v>
      </c>
      <c r="AI28" s="1045" t="s">
        <v>3271</v>
      </c>
      <c r="AJ28" s="1045">
        <f t="shared" si="0"/>
        <v>0</v>
      </c>
      <c r="AK28" s="1045">
        <f t="shared" si="1"/>
        <v>0</v>
      </c>
      <c r="AL28" s="1045">
        <f t="shared" si="2"/>
        <v>25</v>
      </c>
      <c r="AN28" s="1045" t="s">
        <v>3214</v>
      </c>
      <c r="AO28" s="1045">
        <f t="shared" si="13"/>
        <v>-60</v>
      </c>
      <c r="AP28" s="1045">
        <f t="shared" si="3"/>
        <v>4.6640200755386072</v>
      </c>
      <c r="AQ28" s="1045">
        <f t="shared" si="4"/>
        <v>0.94890560892662545</v>
      </c>
      <c r="AR28" s="1045">
        <f t="shared" si="5"/>
        <v>6.5296281057540497</v>
      </c>
      <c r="AS28" s="1045">
        <f t="shared" si="6"/>
        <v>1.3284678524972744</v>
      </c>
      <c r="AT28" s="1045">
        <f t="shared" si="7"/>
        <v>-8.1514974491591889</v>
      </c>
      <c r="AU28" s="1045">
        <f t="shared" si="8"/>
        <v>0.27706220721471853</v>
      </c>
      <c r="AV28" s="1045">
        <f t="shared" si="9"/>
        <v>0</v>
      </c>
      <c r="AW28" s="1045">
        <f t="shared" si="10"/>
        <v>0</v>
      </c>
      <c r="AX28" s="1045">
        <f t="shared" si="11"/>
        <v>0</v>
      </c>
      <c r="AY28" s="1045">
        <f t="shared" si="12"/>
        <v>0</v>
      </c>
    </row>
    <row r="29" spans="2:51">
      <c r="B29" s="1047" t="s">
        <v>3272</v>
      </c>
      <c r="C29" s="1047">
        <f>VLOOKUP("PRC-026 COMPLIANCE INFORMATION ; Table: PRC-026 Information, Row 5", 'SDA Translation Table'!A:Y, 7, FALSE)</f>
        <v>0</v>
      </c>
      <c r="D29" s="1046"/>
      <c r="AI29" s="1045" t="s">
        <v>3273</v>
      </c>
      <c r="AJ29" s="1045">
        <f t="shared" si="0"/>
        <v>0</v>
      </c>
      <c r="AK29" s="1045">
        <f t="shared" si="1"/>
        <v>0</v>
      </c>
      <c r="AL29" s="1045">
        <f t="shared" si="2"/>
        <v>26</v>
      </c>
      <c r="AN29" s="1045" t="s">
        <v>3216</v>
      </c>
      <c r="AO29" s="1045">
        <f t="shared" si="13"/>
        <v>-50</v>
      </c>
      <c r="AP29" s="1045">
        <f t="shared" si="3"/>
        <v>5.7349271481876514</v>
      </c>
      <c r="AQ29" s="1045">
        <f t="shared" si="4"/>
        <v>1.6987628139175799</v>
      </c>
      <c r="AR29" s="1045">
        <f t="shared" si="5"/>
        <v>8.0288980074627112</v>
      </c>
      <c r="AS29" s="1045">
        <f t="shared" si="6"/>
        <v>2.378267939484612</v>
      </c>
      <c r="AT29" s="1045">
        <f t="shared" si="7"/>
        <v>-10.079130179927471</v>
      </c>
      <c r="AU29" s="1045">
        <f t="shared" si="8"/>
        <v>-1.0726807617690004</v>
      </c>
      <c r="AV29" s="1045">
        <f t="shared" si="9"/>
        <v>0</v>
      </c>
      <c r="AW29" s="1045">
        <f t="shared" si="10"/>
        <v>0</v>
      </c>
      <c r="AX29" s="1045">
        <f t="shared" si="11"/>
        <v>0</v>
      </c>
      <c r="AY29" s="1045">
        <f t="shared" si="12"/>
        <v>0</v>
      </c>
    </row>
    <row r="30" spans="2:51">
      <c r="B30" s="1047" t="s">
        <v>3274</v>
      </c>
      <c r="C30" s="1047">
        <f>VLOOKUP("PRC-026 COMPLIANCE INFORMATION ; Table: PRC-026 Information, Row 6", 'SDA Translation Table'!A:Y, 7, FALSE)</f>
        <v>0</v>
      </c>
      <c r="D30" s="1047">
        <f>VLOOKUP("PRC-026 COMPLIANCE INFORMATION ; Table: PRC-026 Information, Row 6", 'SDA Translation Table'!A:Y, 9, FALSE)</f>
        <v>0</v>
      </c>
      <c r="AI30" s="1045" t="s">
        <v>3275</v>
      </c>
      <c r="AJ30" s="1045">
        <f t="shared" si="0"/>
        <v>0</v>
      </c>
      <c r="AK30" s="1045">
        <f t="shared" si="1"/>
        <v>0</v>
      </c>
      <c r="AL30" s="1045">
        <f t="shared" si="2"/>
        <v>27</v>
      </c>
      <c r="AN30" s="1045" t="s">
        <v>3218</v>
      </c>
      <c r="AO30" s="1045">
        <f t="shared" si="13"/>
        <v>-40</v>
      </c>
      <c r="AP30" s="1045">
        <f t="shared" si="3"/>
        <v>6.659353398930941</v>
      </c>
      <c r="AQ30" s="1045">
        <f t="shared" si="4"/>
        <v>2.6231890646608704</v>
      </c>
      <c r="AR30" s="1045">
        <f t="shared" si="5"/>
        <v>9.3230947585033164</v>
      </c>
      <c r="AS30" s="1045">
        <f t="shared" si="6"/>
        <v>3.6724646905252181</v>
      </c>
      <c r="AT30" s="1045">
        <f t="shared" si="7"/>
        <v>-11.743097431265394</v>
      </c>
      <c r="AU30" s="1045">
        <f t="shared" si="8"/>
        <v>-2.7366480131069211</v>
      </c>
      <c r="AV30" s="1045">
        <f t="shared" si="9"/>
        <v>0</v>
      </c>
      <c r="AW30" s="1045">
        <f t="shared" si="10"/>
        <v>0</v>
      </c>
      <c r="AX30" s="1045">
        <f t="shared" si="11"/>
        <v>0</v>
      </c>
      <c r="AY30" s="1045">
        <f t="shared" si="12"/>
        <v>0</v>
      </c>
    </row>
    <row r="31" spans="2:51">
      <c r="B31" s="1047" t="s">
        <v>3276</v>
      </c>
      <c r="C31" s="1047">
        <f>VLOOKUP("PRC-026 COMPLIANCE INFORMATION ; Table: PRC-026 Information, Row 7", 'SDA Translation Table'!A:Y, 7, FALSE)</f>
        <v>0</v>
      </c>
      <c r="D31" s="1046"/>
      <c r="AI31" s="1045" t="s">
        <v>3277</v>
      </c>
      <c r="AJ31" s="1045">
        <f t="shared" si="0"/>
        <v>0</v>
      </c>
      <c r="AK31" s="1045">
        <f t="shared" si="1"/>
        <v>0</v>
      </c>
      <c r="AL31" s="1045">
        <f t="shared" si="2"/>
        <v>28</v>
      </c>
      <c r="AN31" s="1045" t="s">
        <v>3221</v>
      </c>
      <c r="AO31" s="1045">
        <f t="shared" si="13"/>
        <v>-30</v>
      </c>
      <c r="AP31" s="1045">
        <f t="shared" si="3"/>
        <v>7.4092106039218963</v>
      </c>
      <c r="AQ31" s="1045">
        <f t="shared" si="4"/>
        <v>3.694096137309915</v>
      </c>
      <c r="AR31" s="1045">
        <f t="shared" si="5"/>
        <v>10.372894845490654</v>
      </c>
      <c r="AS31" s="1045">
        <f t="shared" si="6"/>
        <v>5.1717345922338813</v>
      </c>
      <c r="AT31" s="1045">
        <f t="shared" si="7"/>
        <v>-13.092840400249113</v>
      </c>
      <c r="AU31" s="1045">
        <f t="shared" si="8"/>
        <v>-4.6642807438752047</v>
      </c>
      <c r="AV31" s="1045">
        <f t="shared" si="9"/>
        <v>0</v>
      </c>
      <c r="AW31" s="1045">
        <f t="shared" si="10"/>
        <v>0</v>
      </c>
      <c r="AX31" s="1045">
        <f t="shared" si="11"/>
        <v>0</v>
      </c>
      <c r="AY31" s="1045">
        <f t="shared" si="12"/>
        <v>0</v>
      </c>
    </row>
    <row r="32" spans="2:51">
      <c r="B32" s="1047" t="s">
        <v>3278</v>
      </c>
      <c r="C32" s="1047">
        <f>VLOOKUP("PRC-026 COMPLIANCE INFORMATION ; Table: PRC-026 Information, Row 8", 'SDA Translation Table'!A:Y, 7, FALSE)</f>
        <v>0</v>
      </c>
      <c r="D32" s="1047">
        <f>VLOOKUP("PRC-026 COMPLIANCE INFORMATION ; Table: PRC-026 Information, Row 8", 'SDA Translation Table'!A:Y, 9, FALSE)</f>
        <v>0</v>
      </c>
      <c r="AI32" s="1045" t="s">
        <v>3279</v>
      </c>
      <c r="AJ32" s="1045">
        <f t="shared" si="0"/>
        <v>0</v>
      </c>
      <c r="AK32" s="1045">
        <f t="shared" si="1"/>
        <v>0</v>
      </c>
      <c r="AL32" s="1045">
        <f t="shared" si="2"/>
        <v>29</v>
      </c>
      <c r="AN32" s="1045" t="s">
        <v>3226</v>
      </c>
      <c r="AO32" s="1045">
        <f t="shared" si="13"/>
        <v>-20</v>
      </c>
      <c r="AP32" s="1045">
        <f t="shared" si="3"/>
        <v>7.9617147314329193</v>
      </c>
      <c r="AQ32" s="1045">
        <f t="shared" si="4"/>
        <v>4.8789450623673991</v>
      </c>
      <c r="AR32" s="1045">
        <f t="shared" si="5"/>
        <v>11.146400624006086</v>
      </c>
      <c r="AS32" s="1045">
        <f t="shared" si="6"/>
        <v>6.8305230873143588</v>
      </c>
      <c r="AT32" s="1045">
        <f t="shared" si="7"/>
        <v>-14.087347829768955</v>
      </c>
      <c r="AU32" s="1045">
        <f t="shared" si="8"/>
        <v>-6.7970088089786742</v>
      </c>
      <c r="AV32" s="1045">
        <f t="shared" si="9"/>
        <v>0</v>
      </c>
      <c r="AW32" s="1045">
        <f t="shared" si="10"/>
        <v>0</v>
      </c>
      <c r="AX32" s="1045">
        <f t="shared" si="11"/>
        <v>0</v>
      </c>
      <c r="AY32" s="1045">
        <f t="shared" si="12"/>
        <v>0</v>
      </c>
    </row>
    <row r="33" spans="2:51">
      <c r="B33" s="1047" t="s">
        <v>3280</v>
      </c>
      <c r="C33" s="1047">
        <f>VLOOKUP("PRC-026 COMPLIANCE INFORMATION ; Table: PRC-026 Information, Row 9", 'SDA Translation Table'!A:Y, 7, FALSE)</f>
        <v>0</v>
      </c>
      <c r="D33" s="1046"/>
      <c r="AI33" s="1045" t="s">
        <v>3281</v>
      </c>
      <c r="AJ33" s="1045">
        <f t="shared" si="0"/>
        <v>0</v>
      </c>
      <c r="AK33" s="1045">
        <f t="shared" si="1"/>
        <v>0</v>
      </c>
      <c r="AL33" s="1045">
        <f t="shared" si="2"/>
        <v>30</v>
      </c>
      <c r="AN33" s="1045" t="s">
        <v>3229</v>
      </c>
      <c r="AO33" s="1045">
        <f t="shared" si="13"/>
        <v>-10</v>
      </c>
      <c r="AP33" s="1045">
        <f t="shared" si="3"/>
        <v>8.300078223130166</v>
      </c>
      <c r="AQ33" s="1045">
        <f t="shared" si="4"/>
        <v>6.1417348048079372</v>
      </c>
      <c r="AR33" s="1045">
        <f t="shared" si="5"/>
        <v>11.620109512382232</v>
      </c>
      <c r="AS33" s="1045">
        <f t="shared" si="6"/>
        <v>8.598428726731111</v>
      </c>
      <c r="AT33" s="1045">
        <f t="shared" si="7"/>
        <v>-14.696402114824</v>
      </c>
      <c r="AU33" s="1045">
        <f t="shared" si="8"/>
        <v>-9.0700303453716433</v>
      </c>
      <c r="AV33" s="1045">
        <f t="shared" si="9"/>
        <v>0</v>
      </c>
      <c r="AW33" s="1045">
        <f t="shared" si="10"/>
        <v>0</v>
      </c>
      <c r="AX33" s="1045">
        <f t="shared" si="11"/>
        <v>0</v>
      </c>
      <c r="AY33" s="1045">
        <f t="shared" si="12"/>
        <v>0</v>
      </c>
    </row>
    <row r="34" spans="2:51">
      <c r="B34" s="1047" t="s">
        <v>3282</v>
      </c>
      <c r="C34" s="1047">
        <f>VLOOKUP("PRC-026 COMPLIANCE INFORMATION ; Table: PRC-026 Information, Row 10", 'SDA Translation Table'!A:Y, 7, FALSE)</f>
        <v>0</v>
      </c>
      <c r="D34" s="1047">
        <f>VLOOKUP("PRC-026 COMPLIANCE INFORMATION ; Table: PRC-026 Information, Row 10", 'SDA Translation Table'!A:Y, 9, FALSE)</f>
        <v>0</v>
      </c>
      <c r="AI34" s="1045" t="s">
        <v>3283</v>
      </c>
      <c r="AJ34" s="1045">
        <f t="shared" ref="AJ34:AJ44" si="14" xml:space="preserve"> ($C$33 *COS(($C$42+AL34*(($C$43-$C$42)/10))*PI()/180) + $C$32)</f>
        <v>0</v>
      </c>
      <c r="AK34" s="1045">
        <f t="shared" ref="AK34:AK44" si="15" xml:space="preserve"> ($C$33 *SIN(($C$42+AL34*(($C$43-$C$42)/10))*PI()/180) + $D$32)</f>
        <v>0</v>
      </c>
      <c r="AL34" s="1045">
        <v>0</v>
      </c>
      <c r="AN34" s="1045" t="s">
        <v>3231</v>
      </c>
      <c r="AO34" s="1045">
        <f t="shared" si="13"/>
        <v>0</v>
      </c>
      <c r="AP34" s="1045">
        <f t="shared" si="3"/>
        <v>8.4140200755386054</v>
      </c>
      <c r="AQ34" s="1045">
        <f t="shared" si="4"/>
        <v>7.4440961373099146</v>
      </c>
      <c r="AR34" s="1045">
        <f t="shared" si="5"/>
        <v>11.779628105754048</v>
      </c>
      <c r="AS34" s="1045">
        <f t="shared" si="6"/>
        <v>10.42173459223388</v>
      </c>
      <c r="AT34" s="1045">
        <f t="shared" si="7"/>
        <v>-14.901497449159191</v>
      </c>
      <c r="AU34" s="1045">
        <f t="shared" si="8"/>
        <v>-11.414280743875201</v>
      </c>
      <c r="AV34" s="1045">
        <f t="shared" si="9"/>
        <v>0</v>
      </c>
      <c r="AW34" s="1045">
        <f t="shared" si="10"/>
        <v>0</v>
      </c>
      <c r="AX34" s="1045">
        <f t="shared" si="11"/>
        <v>0</v>
      </c>
      <c r="AY34" s="1045">
        <f t="shared" si="12"/>
        <v>0</v>
      </c>
    </row>
    <row r="35" spans="2:51">
      <c r="B35" s="1047" t="s">
        <v>3284</v>
      </c>
      <c r="C35" s="1047">
        <f>VLOOKUP("PRC-026 COMPLIANCE INFORMATION ; Table: PRC-026 Information, Row 11", 'SDA Translation Table'!A:Y, 7, FALSE)</f>
        <v>0</v>
      </c>
      <c r="D35" s="1046"/>
      <c r="AI35" s="1045" t="s">
        <v>3285</v>
      </c>
      <c r="AJ35" s="1045">
        <f t="shared" si="14"/>
        <v>0</v>
      </c>
      <c r="AK35" s="1045">
        <f t="shared" si="15"/>
        <v>0</v>
      </c>
      <c r="AL35" s="1045">
        <f t="shared" ref="AL35:AL44" si="16">AL34+1</f>
        <v>1</v>
      </c>
      <c r="AN35" s="1045" t="s">
        <v>3233</v>
      </c>
      <c r="AO35" s="1045">
        <f t="shared" si="13"/>
        <v>10</v>
      </c>
      <c r="AP35" s="1045">
        <f t="shared" si="3"/>
        <v>8.300078223130166</v>
      </c>
      <c r="AQ35" s="1045">
        <f t="shared" si="4"/>
        <v>8.746457469811892</v>
      </c>
      <c r="AR35" s="1045">
        <f t="shared" si="5"/>
        <v>11.620109512382232</v>
      </c>
      <c r="AS35" s="1045">
        <f t="shared" si="6"/>
        <v>12.24504045773665</v>
      </c>
      <c r="AT35" s="1045">
        <f t="shared" si="7"/>
        <v>-14.696402114824</v>
      </c>
      <c r="AU35" s="1045">
        <f t="shared" si="8"/>
        <v>-13.758531142378764</v>
      </c>
      <c r="AV35" s="1045">
        <f t="shared" si="9"/>
        <v>0</v>
      </c>
      <c r="AW35" s="1045">
        <f t="shared" si="10"/>
        <v>0</v>
      </c>
      <c r="AX35" s="1045">
        <f t="shared" si="11"/>
        <v>0</v>
      </c>
      <c r="AY35" s="1045">
        <f t="shared" si="12"/>
        <v>0</v>
      </c>
    </row>
    <row r="36" spans="2:51">
      <c r="B36" s="2251"/>
      <c r="C36" s="2252"/>
      <c r="D36" s="2253"/>
      <c r="AI36" s="1045" t="s">
        <v>3286</v>
      </c>
      <c r="AJ36" s="1045">
        <f t="shared" si="14"/>
        <v>0</v>
      </c>
      <c r="AK36" s="1045">
        <f t="shared" si="15"/>
        <v>0</v>
      </c>
      <c r="AL36" s="1045">
        <f t="shared" si="16"/>
        <v>2</v>
      </c>
      <c r="AN36" s="1045" t="s">
        <v>3235</v>
      </c>
      <c r="AO36" s="1045">
        <f t="shared" si="13"/>
        <v>20</v>
      </c>
      <c r="AP36" s="1045">
        <f t="shared" si="3"/>
        <v>7.9617147314329193</v>
      </c>
      <c r="AQ36" s="1045">
        <f t="shared" si="4"/>
        <v>10.009247212252429</v>
      </c>
      <c r="AR36" s="1045">
        <f t="shared" si="5"/>
        <v>11.146400624006086</v>
      </c>
      <c r="AS36" s="1045">
        <f t="shared" si="6"/>
        <v>14.012946097153403</v>
      </c>
      <c r="AT36" s="1045">
        <f t="shared" si="7"/>
        <v>-14.087347829768955</v>
      </c>
      <c r="AU36" s="1045">
        <f t="shared" si="8"/>
        <v>-16.031552678771732</v>
      </c>
      <c r="AV36" s="1045">
        <f t="shared" si="9"/>
        <v>0</v>
      </c>
      <c r="AW36" s="1045">
        <f t="shared" si="10"/>
        <v>0</v>
      </c>
      <c r="AX36" s="1045">
        <f t="shared" si="11"/>
        <v>0</v>
      </c>
      <c r="AY36" s="1045">
        <f t="shared" si="12"/>
        <v>0</v>
      </c>
    </row>
    <row r="37" spans="2:51">
      <c r="B37" s="1047" t="s">
        <v>27</v>
      </c>
      <c r="C37" s="1047" t="s">
        <v>3213</v>
      </c>
      <c r="D37" s="1046"/>
      <c r="AI37" s="1045" t="s">
        <v>3287</v>
      </c>
      <c r="AJ37" s="1045">
        <f t="shared" si="14"/>
        <v>0</v>
      </c>
      <c r="AK37" s="1045">
        <f t="shared" si="15"/>
        <v>0</v>
      </c>
      <c r="AL37" s="1045">
        <f t="shared" si="16"/>
        <v>3</v>
      </c>
      <c r="AN37" s="1045" t="s">
        <v>3237</v>
      </c>
      <c r="AO37" s="1045">
        <f t="shared" si="13"/>
        <v>30</v>
      </c>
      <c r="AP37" s="1045">
        <f t="shared" si="3"/>
        <v>7.4092106039218963</v>
      </c>
      <c r="AQ37" s="1045">
        <f t="shared" si="4"/>
        <v>11.194096137309915</v>
      </c>
      <c r="AR37" s="1045">
        <f t="shared" si="5"/>
        <v>10.372894845490654</v>
      </c>
      <c r="AS37" s="1045">
        <f t="shared" si="6"/>
        <v>15.671734592233879</v>
      </c>
      <c r="AT37" s="1045">
        <f t="shared" si="7"/>
        <v>-13.092840400249113</v>
      </c>
      <c r="AU37" s="1045">
        <f t="shared" si="8"/>
        <v>-18.164280743875207</v>
      </c>
      <c r="AV37" s="1045">
        <f t="shared" si="9"/>
        <v>0</v>
      </c>
      <c r="AW37" s="1045">
        <f t="shared" si="10"/>
        <v>0</v>
      </c>
      <c r="AX37" s="1045">
        <f t="shared" si="11"/>
        <v>0</v>
      </c>
      <c r="AY37" s="1045">
        <f t="shared" si="12"/>
        <v>0</v>
      </c>
    </row>
    <row r="38" spans="2:51">
      <c r="B38" s="1047" t="s">
        <v>3288</v>
      </c>
      <c r="C38" s="1047">
        <f>VLOOKUP("PRC-026 COMPLIANCE INFORMATION ; Table: PRC-026 Information, Row 20", 'SDA Translation Table'!A:Y, 7, FALSE)</f>
        <v>0</v>
      </c>
      <c r="D38" s="1046"/>
      <c r="AI38" s="1045" t="s">
        <v>3289</v>
      </c>
      <c r="AJ38" s="1045">
        <f t="shared" si="14"/>
        <v>0</v>
      </c>
      <c r="AK38" s="1045">
        <f t="shared" si="15"/>
        <v>0</v>
      </c>
      <c r="AL38" s="1045">
        <f t="shared" si="16"/>
        <v>4</v>
      </c>
      <c r="AN38" s="1045" t="s">
        <v>3238</v>
      </c>
      <c r="AO38" s="1045">
        <f t="shared" si="13"/>
        <v>40</v>
      </c>
      <c r="AP38" s="1045">
        <f t="shared" si="3"/>
        <v>6.659353398930941</v>
      </c>
      <c r="AQ38" s="1045">
        <f t="shared" si="4"/>
        <v>12.265003209958959</v>
      </c>
      <c r="AR38" s="1045">
        <f t="shared" si="5"/>
        <v>9.3230947585033164</v>
      </c>
      <c r="AS38" s="1045">
        <f t="shared" si="6"/>
        <v>17.171004493942544</v>
      </c>
      <c r="AT38" s="1045">
        <f t="shared" si="7"/>
        <v>-11.743097431265394</v>
      </c>
      <c r="AU38" s="1045">
        <f t="shared" si="8"/>
        <v>-20.091913474643484</v>
      </c>
      <c r="AV38" s="1045">
        <f t="shared" si="9"/>
        <v>0</v>
      </c>
      <c r="AW38" s="1045">
        <f t="shared" si="10"/>
        <v>0</v>
      </c>
      <c r="AX38" s="1045">
        <f t="shared" si="11"/>
        <v>0</v>
      </c>
      <c r="AY38" s="1045">
        <f t="shared" si="12"/>
        <v>0</v>
      </c>
    </row>
    <row r="39" spans="2:51">
      <c r="B39" s="1047" t="s">
        <v>3290</v>
      </c>
      <c r="C39" s="1047">
        <f>VLOOKUP("PRC-026 COMPLIANCE INFORMATION ; Table: PRC-026 Information, Row 21", 'SDA Translation Table'!A:Y, 7, FALSE)</f>
        <v>0</v>
      </c>
      <c r="D39" s="1046"/>
      <c r="AI39" s="1045" t="s">
        <v>3291</v>
      </c>
      <c r="AJ39" s="1045">
        <f t="shared" si="14"/>
        <v>0</v>
      </c>
      <c r="AK39" s="1045">
        <f t="shared" si="15"/>
        <v>0</v>
      </c>
      <c r="AL39" s="1045">
        <f t="shared" si="16"/>
        <v>5</v>
      </c>
      <c r="AN39" s="1045" t="s">
        <v>3240</v>
      </c>
      <c r="AO39" s="1045">
        <f t="shared" si="13"/>
        <v>50</v>
      </c>
      <c r="AP39" s="1045">
        <f t="shared" si="3"/>
        <v>5.7349271481876514</v>
      </c>
      <c r="AQ39" s="1045">
        <f t="shared" si="4"/>
        <v>13.18942946070225</v>
      </c>
      <c r="AR39" s="1045">
        <f t="shared" si="5"/>
        <v>8.0288980074627112</v>
      </c>
      <c r="AS39" s="1045">
        <f t="shared" si="6"/>
        <v>18.465201244983149</v>
      </c>
      <c r="AT39" s="1045">
        <f t="shared" si="7"/>
        <v>-10.079130179927475</v>
      </c>
      <c r="AU39" s="1045">
        <f t="shared" si="8"/>
        <v>-21.755880725981406</v>
      </c>
      <c r="AV39" s="1045">
        <f t="shared" si="9"/>
        <v>0</v>
      </c>
      <c r="AW39" s="1045">
        <f t="shared" si="10"/>
        <v>0</v>
      </c>
      <c r="AX39" s="1045">
        <f t="shared" si="11"/>
        <v>0</v>
      </c>
      <c r="AY39" s="1045">
        <f t="shared" si="12"/>
        <v>0</v>
      </c>
    </row>
    <row r="40" spans="2:51">
      <c r="B40" s="1047" t="s">
        <v>3292</v>
      </c>
      <c r="C40" s="1047">
        <f>VLOOKUP("PRC-026 COMPLIANCE INFORMATION ; Table: PRC-026 Information, Row 18", 'SDA Translation Table'!A:Y, 7, FALSE)</f>
        <v>0</v>
      </c>
      <c r="D40" s="1046"/>
      <c r="AI40" s="1045" t="s">
        <v>3293</v>
      </c>
      <c r="AJ40" s="1045">
        <f t="shared" si="14"/>
        <v>0</v>
      </c>
      <c r="AK40" s="1045">
        <f t="shared" si="15"/>
        <v>0</v>
      </c>
      <c r="AL40" s="1045">
        <f t="shared" si="16"/>
        <v>6</v>
      </c>
      <c r="AN40" s="1045" t="s">
        <v>3244</v>
      </c>
      <c r="AO40" s="1045">
        <f t="shared" si="13"/>
        <v>60</v>
      </c>
      <c r="AP40" s="1045">
        <f t="shared" si="3"/>
        <v>4.6640200755386072</v>
      </c>
      <c r="AQ40" s="1045">
        <f t="shared" si="4"/>
        <v>13.939286665693203</v>
      </c>
      <c r="AR40" s="1045">
        <f t="shared" si="5"/>
        <v>6.5296281057540497</v>
      </c>
      <c r="AS40" s="1045">
        <f t="shared" si="6"/>
        <v>19.515001331970488</v>
      </c>
      <c r="AT40" s="1045">
        <f t="shared" si="7"/>
        <v>-8.1514974491591978</v>
      </c>
      <c r="AU40" s="1045">
        <f t="shared" si="8"/>
        <v>-23.105623694965125</v>
      </c>
      <c r="AV40" s="1045">
        <f t="shared" si="9"/>
        <v>0</v>
      </c>
      <c r="AW40" s="1045">
        <f t="shared" si="10"/>
        <v>0</v>
      </c>
      <c r="AX40" s="1045">
        <f t="shared" si="11"/>
        <v>0</v>
      </c>
      <c r="AY40" s="1045">
        <f t="shared" si="12"/>
        <v>0</v>
      </c>
    </row>
    <row r="41" spans="2:51">
      <c r="B41" s="1047" t="s">
        <v>3294</v>
      </c>
      <c r="C41" s="1047">
        <f>VLOOKUP("PRC-026 COMPLIANCE INFORMATION ; Table: PRC-026 Information, Row 19", 'SDA Translation Table'!A:Y, 7, FALSE)</f>
        <v>0</v>
      </c>
      <c r="D41" s="1046"/>
      <c r="AI41" s="1045" t="s">
        <v>3295</v>
      </c>
      <c r="AJ41" s="1045">
        <f t="shared" si="14"/>
        <v>0</v>
      </c>
      <c r="AK41" s="1045">
        <f t="shared" si="15"/>
        <v>0</v>
      </c>
      <c r="AL41" s="1045">
        <f t="shared" si="16"/>
        <v>7</v>
      </c>
      <c r="AN41" s="1045" t="s">
        <v>3246</v>
      </c>
      <c r="AO41" s="1045">
        <f t="shared" si="13"/>
        <v>70</v>
      </c>
      <c r="AP41" s="1045">
        <f t="shared" si="3"/>
        <v>3.4791711504811227</v>
      </c>
      <c r="AQ41" s="1045">
        <f t="shared" si="4"/>
        <v>14.491790793204228</v>
      </c>
      <c r="AR41" s="1045">
        <f t="shared" si="5"/>
        <v>4.8708396106735714</v>
      </c>
      <c r="AS41" s="1045">
        <f t="shared" si="6"/>
        <v>20.288507110485916</v>
      </c>
      <c r="AT41" s="1045">
        <f t="shared" si="7"/>
        <v>-6.0187693840557177</v>
      </c>
      <c r="AU41" s="1045">
        <f t="shared" si="8"/>
        <v>-24.100131124484967</v>
      </c>
      <c r="AV41" s="1045">
        <f t="shared" si="9"/>
        <v>0</v>
      </c>
      <c r="AW41" s="1045">
        <f t="shared" si="10"/>
        <v>0</v>
      </c>
      <c r="AX41" s="1045">
        <f t="shared" si="11"/>
        <v>0</v>
      </c>
      <c r="AY41" s="1045">
        <f t="shared" si="12"/>
        <v>0</v>
      </c>
    </row>
    <row r="42" spans="2:51">
      <c r="B42" s="1047" t="s">
        <v>3296</v>
      </c>
      <c r="C42" s="1047">
        <f>VLOOKUP("PRC-026 COMPLIANCE INFORMATION ; Table: PRC-026 Information, Row 22", 'SDA Translation Table'!A:Y, 7, FALSE)</f>
        <v>0</v>
      </c>
      <c r="D42" s="1046"/>
      <c r="AI42" s="1045" t="s">
        <v>3297</v>
      </c>
      <c r="AJ42" s="1045">
        <f t="shared" si="14"/>
        <v>0</v>
      </c>
      <c r="AK42" s="1045">
        <f t="shared" si="15"/>
        <v>0</v>
      </c>
      <c r="AL42" s="1045">
        <f t="shared" si="16"/>
        <v>8</v>
      </c>
      <c r="AN42" s="1045" t="s">
        <v>3248</v>
      </c>
      <c r="AO42" s="1045">
        <f t="shared" si="13"/>
        <v>80</v>
      </c>
      <c r="AP42" s="1045">
        <f t="shared" si="3"/>
        <v>2.2163814080405841</v>
      </c>
      <c r="AQ42" s="1045">
        <f t="shared" si="4"/>
        <v>14.830154284901475</v>
      </c>
      <c r="AR42" s="1045">
        <f t="shared" si="5"/>
        <v>3.1029339712568182</v>
      </c>
      <c r="AS42" s="1045">
        <f t="shared" si="6"/>
        <v>20.762215998862064</v>
      </c>
      <c r="AT42" s="1045">
        <f t="shared" si="7"/>
        <v>-3.7457478476627517</v>
      </c>
      <c r="AU42" s="1045">
        <f t="shared" si="8"/>
        <v>-24.709185409540012</v>
      </c>
      <c r="AV42" s="1045">
        <f t="shared" si="9"/>
        <v>0</v>
      </c>
      <c r="AW42" s="1045">
        <f t="shared" si="10"/>
        <v>0</v>
      </c>
      <c r="AX42" s="1045">
        <f t="shared" si="11"/>
        <v>0</v>
      </c>
      <c r="AY42" s="1045">
        <f t="shared" si="12"/>
        <v>0</v>
      </c>
    </row>
    <row r="43" spans="2:51">
      <c r="B43" s="1047" t="s">
        <v>3298</v>
      </c>
      <c r="C43" s="1047">
        <f>VLOOKUP("PRC-026 COMPLIANCE INFORMATION ; Table: PRC-026 Information, Row 23", 'SDA Translation Table'!A:Y, 7, FALSE)</f>
        <v>0</v>
      </c>
      <c r="D43" s="1046"/>
      <c r="AI43" s="1045" t="s">
        <v>3299</v>
      </c>
      <c r="AJ43" s="1045">
        <f t="shared" si="14"/>
        <v>0</v>
      </c>
      <c r="AK43" s="1045">
        <f t="shared" si="15"/>
        <v>0</v>
      </c>
      <c r="AL43" s="1045">
        <f t="shared" si="16"/>
        <v>9</v>
      </c>
      <c r="AN43" s="1045" t="s">
        <v>3250</v>
      </c>
      <c r="AO43" s="1045">
        <f t="shared" si="13"/>
        <v>90</v>
      </c>
      <c r="AP43" s="1045">
        <f t="shared" si="3"/>
        <v>0.91402007553860665</v>
      </c>
      <c r="AQ43" s="1045">
        <f t="shared" si="4"/>
        <v>14.944096137309915</v>
      </c>
      <c r="AR43" s="1045">
        <f t="shared" si="5"/>
        <v>1.2796281057540493</v>
      </c>
      <c r="AS43" s="1045">
        <f t="shared" si="6"/>
        <v>20.921734592233882</v>
      </c>
      <c r="AT43" s="1045">
        <f t="shared" si="7"/>
        <v>-1.4014974491591947</v>
      </c>
      <c r="AU43" s="1045">
        <f t="shared" si="8"/>
        <v>-24.914280743875203</v>
      </c>
      <c r="AV43" s="1045">
        <f t="shared" si="9"/>
        <v>0</v>
      </c>
      <c r="AW43" s="1045">
        <f t="shared" si="10"/>
        <v>0</v>
      </c>
      <c r="AX43" s="1045">
        <f t="shared" si="11"/>
        <v>0</v>
      </c>
      <c r="AY43" s="1045">
        <f t="shared" si="12"/>
        <v>0</v>
      </c>
    </row>
    <row r="44" spans="2:51">
      <c r="B44" s="1047" t="s">
        <v>3300</v>
      </c>
      <c r="C44" s="1047">
        <f>VLOOKUP("PRC-026 COMPLIANCE INFORMATION ; Table: PRC-026 Information, Row 24", 'SDA Translation Table'!A:Y, 7, FALSE)</f>
        <v>0</v>
      </c>
      <c r="D44" s="1046"/>
      <c r="AI44" s="1045" t="s">
        <v>3301</v>
      </c>
      <c r="AJ44" s="1045">
        <f t="shared" si="14"/>
        <v>0</v>
      </c>
      <c r="AK44" s="1045">
        <f t="shared" si="15"/>
        <v>0</v>
      </c>
      <c r="AL44" s="1045">
        <f t="shared" si="16"/>
        <v>10</v>
      </c>
      <c r="AN44" s="1045" t="s">
        <v>3252</v>
      </c>
      <c r="AO44" s="1045">
        <f t="shared" si="13"/>
        <v>100</v>
      </c>
      <c r="AP44" s="1045">
        <f t="shared" si="3"/>
        <v>-0.38834125696337118</v>
      </c>
      <c r="AQ44" s="1045">
        <f t="shared" si="4"/>
        <v>14.830154284901475</v>
      </c>
      <c r="AR44" s="1045">
        <f t="shared" si="5"/>
        <v>-0.54367775974871946</v>
      </c>
      <c r="AS44" s="1045">
        <f t="shared" si="6"/>
        <v>20.762215998862064</v>
      </c>
      <c r="AT44" s="1045">
        <f t="shared" si="7"/>
        <v>0.94275294934436249</v>
      </c>
      <c r="AU44" s="1045">
        <f t="shared" si="8"/>
        <v>-24.709185409540012</v>
      </c>
      <c r="AV44" s="1045">
        <f t="shared" si="9"/>
        <v>0</v>
      </c>
      <c r="AW44" s="1045">
        <f t="shared" si="10"/>
        <v>0</v>
      </c>
      <c r="AX44" s="1045">
        <f t="shared" si="11"/>
        <v>0</v>
      </c>
      <c r="AY44" s="1045">
        <f t="shared" si="12"/>
        <v>0</v>
      </c>
    </row>
    <row r="45" spans="2:51">
      <c r="B45" s="1047" t="s">
        <v>3302</v>
      </c>
      <c r="C45" s="1047">
        <f>VLOOKUP("PRC-026 COMPLIANCE INFORMATION ; Table: PRC-026 Information, Row 25", 'SDA Translation Table'!A:Y, 7, FALSE)</f>
        <v>0</v>
      </c>
      <c r="D45" s="1046"/>
      <c r="AI45" s="1045" t="s">
        <v>3303</v>
      </c>
      <c r="AJ45" s="1045">
        <f t="shared" ref="AJ45:AJ75" si="17" xml:space="preserve"> ($C$31 *COS(($C$40+AL45*(360 + $C$41 - $C$40)/30)*PI()/180) + $C$30)</f>
        <v>0</v>
      </c>
      <c r="AK45" s="1045">
        <f t="shared" ref="AK45:AK75" si="18" xml:space="preserve"> ($C$31 *SIN(($C$40+AL45*(360 + $C$41 - $C$40)/30)*PI()/180) + $D$30)</f>
        <v>0</v>
      </c>
      <c r="AL45" s="1045">
        <v>0</v>
      </c>
      <c r="AN45" s="1045" t="s">
        <v>3255</v>
      </c>
      <c r="AO45" s="1045">
        <f t="shared" si="13"/>
        <v>110</v>
      </c>
      <c r="AP45" s="1045">
        <f t="shared" si="3"/>
        <v>-1.6511309994039092</v>
      </c>
      <c r="AQ45" s="1045">
        <f t="shared" si="4"/>
        <v>14.491790793204228</v>
      </c>
      <c r="AR45" s="1045">
        <f t="shared" si="5"/>
        <v>-2.3115833991654728</v>
      </c>
      <c r="AS45" s="1045">
        <f t="shared" si="6"/>
        <v>20.288507110485916</v>
      </c>
      <c r="AT45" s="1045">
        <f t="shared" si="7"/>
        <v>3.2157744857373394</v>
      </c>
      <c r="AU45" s="1045">
        <f t="shared" si="8"/>
        <v>-24.100131124484967</v>
      </c>
      <c r="AV45" s="1045">
        <f t="shared" si="9"/>
        <v>0</v>
      </c>
      <c r="AW45" s="1045">
        <f t="shared" si="10"/>
        <v>0</v>
      </c>
      <c r="AX45" s="1045">
        <f t="shared" si="11"/>
        <v>0</v>
      </c>
      <c r="AY45" s="1045">
        <f t="shared" si="12"/>
        <v>0</v>
      </c>
    </row>
    <row r="46" spans="2:51">
      <c r="AI46" s="1045" t="s">
        <v>3304</v>
      </c>
      <c r="AJ46" s="1045">
        <f t="shared" si="17"/>
        <v>0</v>
      </c>
      <c r="AK46" s="1045">
        <f t="shared" si="18"/>
        <v>0</v>
      </c>
      <c r="AL46" s="1045">
        <f t="shared" ref="AL46:AL75" si="19">AL45+1</f>
        <v>1</v>
      </c>
      <c r="AN46" s="1045" t="s">
        <v>3262</v>
      </c>
      <c r="AO46" s="1045">
        <f t="shared" si="13"/>
        <v>120</v>
      </c>
      <c r="AP46" s="1045">
        <f t="shared" si="3"/>
        <v>-2.8359799244613919</v>
      </c>
      <c r="AQ46" s="1045">
        <f t="shared" si="4"/>
        <v>13.939286665693205</v>
      </c>
      <c r="AR46" s="1045">
        <f t="shared" si="5"/>
        <v>-3.9703718942459485</v>
      </c>
      <c r="AS46" s="1045">
        <f t="shared" si="6"/>
        <v>19.515001331970488</v>
      </c>
      <c r="AT46" s="1045">
        <f t="shared" si="7"/>
        <v>5.3485025508408093</v>
      </c>
      <c r="AU46" s="1045">
        <f t="shared" si="8"/>
        <v>-23.105623694965125</v>
      </c>
      <c r="AV46" s="1045">
        <f t="shared" si="9"/>
        <v>0</v>
      </c>
      <c r="AW46" s="1045">
        <f t="shared" si="10"/>
        <v>0</v>
      </c>
      <c r="AX46" s="1045">
        <f t="shared" si="11"/>
        <v>0</v>
      </c>
      <c r="AY46" s="1045">
        <f t="shared" si="12"/>
        <v>0</v>
      </c>
    </row>
    <row r="47" spans="2:51">
      <c r="AI47" s="1045" t="s">
        <v>3305</v>
      </c>
      <c r="AJ47" s="1045">
        <f t="shared" si="17"/>
        <v>0</v>
      </c>
      <c r="AK47" s="1045">
        <f t="shared" si="18"/>
        <v>0</v>
      </c>
      <c r="AL47" s="1045">
        <f t="shared" si="19"/>
        <v>2</v>
      </c>
      <c r="AN47" s="1045" t="s">
        <v>3265</v>
      </c>
      <c r="AO47" s="1045">
        <f t="shared" si="13"/>
        <v>130</v>
      </c>
      <c r="AP47" s="1045">
        <f t="shared" si="3"/>
        <v>-3.9068869971104387</v>
      </c>
      <c r="AQ47" s="1045">
        <f t="shared" si="4"/>
        <v>13.18942946070225</v>
      </c>
      <c r="AR47" s="1045">
        <f t="shared" si="5"/>
        <v>-5.4696417959546144</v>
      </c>
      <c r="AS47" s="1045">
        <f t="shared" si="6"/>
        <v>18.465201244983149</v>
      </c>
      <c r="AT47" s="1045">
        <f t="shared" si="7"/>
        <v>7.2761352816090881</v>
      </c>
      <c r="AU47" s="1045">
        <f t="shared" si="8"/>
        <v>-21.75588072598141</v>
      </c>
      <c r="AV47" s="1045">
        <f t="shared" si="9"/>
        <v>0</v>
      </c>
      <c r="AW47" s="1045">
        <f t="shared" si="10"/>
        <v>0</v>
      </c>
      <c r="AX47" s="1045">
        <f t="shared" si="11"/>
        <v>0</v>
      </c>
      <c r="AY47" s="1045">
        <f t="shared" si="12"/>
        <v>0</v>
      </c>
    </row>
    <row r="48" spans="2:51">
      <c r="AI48" s="1045" t="s">
        <v>3306</v>
      </c>
      <c r="AJ48" s="1045">
        <f t="shared" si="17"/>
        <v>0</v>
      </c>
      <c r="AK48" s="1045">
        <f t="shared" si="18"/>
        <v>0</v>
      </c>
      <c r="AL48" s="1045">
        <f t="shared" si="19"/>
        <v>3</v>
      </c>
      <c r="AN48" s="1045" t="s">
        <v>3267</v>
      </c>
      <c r="AO48" s="1045">
        <f t="shared" si="13"/>
        <v>140</v>
      </c>
      <c r="AP48" s="1045">
        <f t="shared" si="3"/>
        <v>-4.8313132478537275</v>
      </c>
      <c r="AQ48" s="1045">
        <f t="shared" si="4"/>
        <v>12.265003209958961</v>
      </c>
      <c r="AR48" s="1045">
        <f t="shared" si="5"/>
        <v>-6.7638385469952196</v>
      </c>
      <c r="AS48" s="1045">
        <f t="shared" si="6"/>
        <v>17.171004493942544</v>
      </c>
      <c r="AT48" s="1045">
        <f t="shared" si="7"/>
        <v>8.9401025329470087</v>
      </c>
      <c r="AU48" s="1045">
        <f t="shared" si="8"/>
        <v>-20.091913474643491</v>
      </c>
      <c r="AV48" s="1045">
        <f t="shared" si="9"/>
        <v>0</v>
      </c>
      <c r="AW48" s="1045">
        <f t="shared" si="10"/>
        <v>0</v>
      </c>
      <c r="AX48" s="1045">
        <f t="shared" si="11"/>
        <v>0</v>
      </c>
      <c r="AY48" s="1045">
        <f t="shared" si="12"/>
        <v>0</v>
      </c>
    </row>
    <row r="49" spans="35:51">
      <c r="AI49" s="1045" t="s">
        <v>3307</v>
      </c>
      <c r="AJ49" s="1045">
        <f t="shared" si="17"/>
        <v>0</v>
      </c>
      <c r="AK49" s="1045">
        <f t="shared" si="18"/>
        <v>0</v>
      </c>
      <c r="AL49" s="1045">
        <f t="shared" si="19"/>
        <v>4</v>
      </c>
      <c r="AN49" s="1045" t="s">
        <v>3269</v>
      </c>
      <c r="AO49" s="1045">
        <f t="shared" si="13"/>
        <v>150</v>
      </c>
      <c r="AP49" s="1045">
        <f t="shared" si="3"/>
        <v>-5.5811704528446837</v>
      </c>
      <c r="AQ49" s="1045">
        <f t="shared" si="4"/>
        <v>11.194096137309915</v>
      </c>
      <c r="AR49" s="1045">
        <f t="shared" si="5"/>
        <v>-7.8136386339825572</v>
      </c>
      <c r="AS49" s="1045">
        <f t="shared" si="6"/>
        <v>15.671734592233879</v>
      </c>
      <c r="AT49" s="1045">
        <f t="shared" si="7"/>
        <v>10.289845501930728</v>
      </c>
      <c r="AU49" s="1045">
        <f t="shared" si="8"/>
        <v>-18.16428074387521</v>
      </c>
      <c r="AV49" s="1045">
        <f t="shared" si="9"/>
        <v>0</v>
      </c>
      <c r="AW49" s="1045">
        <f t="shared" si="10"/>
        <v>0</v>
      </c>
      <c r="AX49" s="1045">
        <f t="shared" si="11"/>
        <v>0</v>
      </c>
      <c r="AY49" s="1045">
        <f t="shared" si="12"/>
        <v>0</v>
      </c>
    </row>
    <row r="50" spans="35:51">
      <c r="AI50" s="1045" t="s">
        <v>3308</v>
      </c>
      <c r="AJ50" s="1045">
        <f t="shared" si="17"/>
        <v>0</v>
      </c>
      <c r="AK50" s="1045">
        <f t="shared" si="18"/>
        <v>0</v>
      </c>
      <c r="AL50" s="1045">
        <f t="shared" si="19"/>
        <v>5</v>
      </c>
      <c r="AN50" s="1045" t="s">
        <v>3271</v>
      </c>
      <c r="AO50" s="1045">
        <f t="shared" si="13"/>
        <v>160</v>
      </c>
      <c r="AP50" s="1045">
        <f t="shared" si="3"/>
        <v>-6.1336745803557058</v>
      </c>
      <c r="AQ50" s="1045">
        <f t="shared" si="4"/>
        <v>10.009247212252431</v>
      </c>
      <c r="AR50" s="1045">
        <f t="shared" si="5"/>
        <v>-8.5871444124979899</v>
      </c>
      <c r="AS50" s="1045">
        <f t="shared" si="6"/>
        <v>14.012946097153403</v>
      </c>
      <c r="AT50" s="1045">
        <f t="shared" si="7"/>
        <v>11.284352931450574</v>
      </c>
      <c r="AU50" s="1045">
        <f t="shared" si="8"/>
        <v>-16.031552678771732</v>
      </c>
      <c r="AV50" s="1045">
        <f t="shared" si="9"/>
        <v>0</v>
      </c>
      <c r="AW50" s="1045">
        <f t="shared" si="10"/>
        <v>0</v>
      </c>
      <c r="AX50" s="1045">
        <f t="shared" si="11"/>
        <v>0</v>
      </c>
      <c r="AY50" s="1045">
        <f t="shared" si="12"/>
        <v>0</v>
      </c>
    </row>
    <row r="51" spans="35:51">
      <c r="AI51" s="1045" t="s">
        <v>3309</v>
      </c>
      <c r="AJ51" s="1045">
        <f t="shared" si="17"/>
        <v>0</v>
      </c>
      <c r="AK51" s="1045">
        <f t="shared" si="18"/>
        <v>0</v>
      </c>
      <c r="AL51" s="1045">
        <f t="shared" si="19"/>
        <v>6</v>
      </c>
      <c r="AN51" s="1045" t="s">
        <v>3273</v>
      </c>
      <c r="AO51" s="1045">
        <f t="shared" si="13"/>
        <v>170</v>
      </c>
      <c r="AP51" s="1045">
        <f t="shared" si="3"/>
        <v>-6.4720380720529542</v>
      </c>
      <c r="AQ51" s="1045">
        <f t="shared" si="4"/>
        <v>8.746457469811892</v>
      </c>
      <c r="AR51" s="1045">
        <f t="shared" si="5"/>
        <v>-9.0608533008741361</v>
      </c>
      <c r="AS51" s="1045">
        <f t="shared" si="6"/>
        <v>12.245040457736648</v>
      </c>
      <c r="AT51" s="1045">
        <f t="shared" si="7"/>
        <v>11.893407216505615</v>
      </c>
      <c r="AU51" s="1045">
        <f t="shared" si="8"/>
        <v>-13.758531142378763</v>
      </c>
      <c r="AV51" s="1045">
        <f t="shared" si="9"/>
        <v>0</v>
      </c>
      <c r="AW51" s="1045">
        <f t="shared" si="10"/>
        <v>0</v>
      </c>
      <c r="AX51" s="1045">
        <f t="shared" si="11"/>
        <v>0</v>
      </c>
      <c r="AY51" s="1045">
        <f t="shared" si="12"/>
        <v>0</v>
      </c>
    </row>
    <row r="52" spans="35:51">
      <c r="AI52" s="1045" t="s">
        <v>3310</v>
      </c>
      <c r="AJ52" s="1045">
        <f t="shared" si="17"/>
        <v>0</v>
      </c>
      <c r="AK52" s="1045">
        <f t="shared" si="18"/>
        <v>0</v>
      </c>
      <c r="AL52" s="1045">
        <f t="shared" si="19"/>
        <v>7</v>
      </c>
      <c r="AN52" s="1045" t="s">
        <v>3275</v>
      </c>
      <c r="AO52" s="1045">
        <f t="shared" si="13"/>
        <v>180</v>
      </c>
      <c r="AP52" s="1045">
        <f t="shared" si="3"/>
        <v>-6.5859799244613937</v>
      </c>
      <c r="AQ52" s="1045">
        <f t="shared" si="4"/>
        <v>7.4440961373099155</v>
      </c>
      <c r="AR52" s="1045">
        <f t="shared" si="5"/>
        <v>-9.220371894245952</v>
      </c>
      <c r="AS52" s="1045">
        <f t="shared" si="6"/>
        <v>10.421734592233882</v>
      </c>
      <c r="AT52" s="1045">
        <f t="shared" si="7"/>
        <v>12.098502550840809</v>
      </c>
      <c r="AU52" s="1045">
        <f t="shared" si="8"/>
        <v>-11.414280743875207</v>
      </c>
      <c r="AV52" s="1045">
        <f t="shared" si="9"/>
        <v>0</v>
      </c>
      <c r="AW52" s="1045">
        <f t="shared" si="10"/>
        <v>0</v>
      </c>
      <c r="AX52" s="1045">
        <f t="shared" si="11"/>
        <v>0</v>
      </c>
      <c r="AY52" s="1045">
        <f t="shared" si="12"/>
        <v>0</v>
      </c>
    </row>
    <row r="53" spans="35:51">
      <c r="AI53" s="1045" t="s">
        <v>3311</v>
      </c>
      <c r="AJ53" s="1045">
        <f t="shared" si="17"/>
        <v>0</v>
      </c>
      <c r="AK53" s="1045">
        <f t="shared" si="18"/>
        <v>0</v>
      </c>
      <c r="AL53" s="1045">
        <f t="shared" si="19"/>
        <v>8</v>
      </c>
      <c r="AN53" s="1045" t="s">
        <v>3277</v>
      </c>
      <c r="AO53" s="1045">
        <f t="shared" si="13"/>
        <v>190</v>
      </c>
      <c r="AP53" s="1045">
        <f t="shared" si="3"/>
        <v>-6.4720380720529542</v>
      </c>
      <c r="AQ53" s="1045">
        <f t="shared" si="4"/>
        <v>6.1417348048079363</v>
      </c>
      <c r="AR53" s="1045">
        <f t="shared" si="5"/>
        <v>-9.0608533008741361</v>
      </c>
      <c r="AS53" s="1045">
        <f t="shared" si="6"/>
        <v>8.598428726731111</v>
      </c>
      <c r="AT53" s="1045">
        <f t="shared" si="7"/>
        <v>11.893407216505619</v>
      </c>
      <c r="AU53" s="1045">
        <f t="shared" si="8"/>
        <v>-9.0700303453716487</v>
      </c>
      <c r="AV53" s="1045">
        <f t="shared" si="9"/>
        <v>0</v>
      </c>
      <c r="AW53" s="1045">
        <f t="shared" si="10"/>
        <v>0</v>
      </c>
      <c r="AX53" s="1045">
        <f t="shared" si="11"/>
        <v>0</v>
      </c>
      <c r="AY53" s="1045">
        <f t="shared" si="12"/>
        <v>0</v>
      </c>
    </row>
    <row r="54" spans="35:51">
      <c r="AI54" s="1045" t="s">
        <v>3312</v>
      </c>
      <c r="AJ54" s="1045">
        <f t="shared" si="17"/>
        <v>0</v>
      </c>
      <c r="AK54" s="1045">
        <f t="shared" si="18"/>
        <v>0</v>
      </c>
      <c r="AL54" s="1045">
        <f t="shared" si="19"/>
        <v>9</v>
      </c>
      <c r="AN54" s="1045" t="s">
        <v>3279</v>
      </c>
      <c r="AO54" s="1045">
        <f t="shared" si="13"/>
        <v>200</v>
      </c>
      <c r="AP54" s="1045">
        <f t="shared" si="3"/>
        <v>-6.1336745803557067</v>
      </c>
      <c r="AQ54" s="1045">
        <f t="shared" si="4"/>
        <v>4.8789450623674</v>
      </c>
      <c r="AR54" s="1045">
        <f t="shared" si="5"/>
        <v>-8.5871444124979899</v>
      </c>
      <c r="AS54" s="1045">
        <f t="shared" si="6"/>
        <v>6.8305230873143596</v>
      </c>
      <c r="AT54" s="1045">
        <f t="shared" si="7"/>
        <v>11.28435293145057</v>
      </c>
      <c r="AU54" s="1045">
        <f t="shared" si="8"/>
        <v>-6.7970088089786733</v>
      </c>
      <c r="AV54" s="1045">
        <f t="shared" si="9"/>
        <v>0</v>
      </c>
      <c r="AW54" s="1045">
        <f t="shared" si="10"/>
        <v>0</v>
      </c>
      <c r="AX54" s="1045">
        <f t="shared" si="11"/>
        <v>0</v>
      </c>
      <c r="AY54" s="1045">
        <f t="shared" si="12"/>
        <v>0</v>
      </c>
    </row>
    <row r="55" spans="35:51">
      <c r="AI55" s="1045" t="s">
        <v>3313</v>
      </c>
      <c r="AJ55" s="1045">
        <f t="shared" si="17"/>
        <v>0</v>
      </c>
      <c r="AK55" s="1045">
        <f t="shared" si="18"/>
        <v>0</v>
      </c>
      <c r="AL55" s="1045">
        <f t="shared" si="19"/>
        <v>10</v>
      </c>
      <c r="AN55" s="1045" t="s">
        <v>3281</v>
      </c>
      <c r="AO55" s="1045">
        <f t="shared" si="13"/>
        <v>210</v>
      </c>
      <c r="AP55" s="1045">
        <f t="shared" si="3"/>
        <v>-5.5811704528446828</v>
      </c>
      <c r="AQ55" s="1045">
        <f t="shared" si="4"/>
        <v>3.6940961373099137</v>
      </c>
      <c r="AR55" s="1045">
        <f t="shared" si="5"/>
        <v>-7.8136386339825572</v>
      </c>
      <c r="AS55" s="1045">
        <f t="shared" si="6"/>
        <v>5.1717345922338795</v>
      </c>
      <c r="AT55" s="1045">
        <f t="shared" si="7"/>
        <v>10.289845501930728</v>
      </c>
      <c r="AU55" s="1045">
        <f t="shared" si="8"/>
        <v>-4.6642807438752039</v>
      </c>
      <c r="AV55" s="1045">
        <f t="shared" si="9"/>
        <v>0</v>
      </c>
      <c r="AW55" s="1045">
        <f t="shared" si="10"/>
        <v>0</v>
      </c>
      <c r="AX55" s="1045">
        <f t="shared" si="11"/>
        <v>0</v>
      </c>
      <c r="AY55" s="1045">
        <f t="shared" si="12"/>
        <v>0</v>
      </c>
    </row>
    <row r="56" spans="35:51">
      <c r="AI56" s="1045" t="s">
        <v>3314</v>
      </c>
      <c r="AJ56" s="1045">
        <f t="shared" si="17"/>
        <v>0</v>
      </c>
      <c r="AK56" s="1045">
        <f t="shared" si="18"/>
        <v>0</v>
      </c>
      <c r="AL56" s="1045">
        <f t="shared" si="19"/>
        <v>11</v>
      </c>
      <c r="AN56" s="1045" t="s">
        <v>3283</v>
      </c>
      <c r="AO56" s="1045">
        <f t="shared" si="13"/>
        <v>220</v>
      </c>
      <c r="AP56" s="1045">
        <f t="shared" si="3"/>
        <v>-4.8313132478537284</v>
      </c>
      <c r="AQ56" s="1045">
        <f t="shared" si="4"/>
        <v>2.6231890646608704</v>
      </c>
      <c r="AR56" s="1045">
        <f t="shared" si="5"/>
        <v>-6.7638385469952196</v>
      </c>
      <c r="AS56" s="1045">
        <f t="shared" si="6"/>
        <v>3.6724646905252181</v>
      </c>
      <c r="AT56" s="1045">
        <f t="shared" si="7"/>
        <v>8.9401025329470123</v>
      </c>
      <c r="AU56" s="1045">
        <f t="shared" si="8"/>
        <v>-2.7366480131069246</v>
      </c>
      <c r="AV56" s="1045">
        <f t="shared" si="9"/>
        <v>0</v>
      </c>
      <c r="AW56" s="1045">
        <f t="shared" si="10"/>
        <v>0</v>
      </c>
      <c r="AX56" s="1045">
        <f t="shared" si="11"/>
        <v>0</v>
      </c>
      <c r="AY56" s="1045">
        <f t="shared" si="12"/>
        <v>0</v>
      </c>
    </row>
    <row r="57" spans="35:51">
      <c r="AI57" s="1045" t="s">
        <v>3315</v>
      </c>
      <c r="AJ57" s="1045">
        <f t="shared" si="17"/>
        <v>0</v>
      </c>
      <c r="AK57" s="1045">
        <f t="shared" si="18"/>
        <v>0</v>
      </c>
      <c r="AL57" s="1045">
        <f t="shared" si="19"/>
        <v>12</v>
      </c>
      <c r="AN57" s="1045" t="s">
        <v>3285</v>
      </c>
      <c r="AO57" s="1045">
        <f t="shared" si="13"/>
        <v>230</v>
      </c>
      <c r="AP57" s="1045">
        <f t="shared" si="3"/>
        <v>-3.9068869971104396</v>
      </c>
      <c r="AQ57" s="1045">
        <f t="shared" si="4"/>
        <v>1.6987628139175808</v>
      </c>
      <c r="AR57" s="1045">
        <f t="shared" si="5"/>
        <v>-5.4696417959546153</v>
      </c>
      <c r="AS57" s="1045">
        <f t="shared" si="6"/>
        <v>2.378267939484612</v>
      </c>
      <c r="AT57" s="1045">
        <f t="shared" si="7"/>
        <v>7.2761352816090916</v>
      </c>
      <c r="AU57" s="1045">
        <f t="shared" si="8"/>
        <v>-1.072680761769004</v>
      </c>
      <c r="AV57" s="1045">
        <f t="shared" si="9"/>
        <v>0</v>
      </c>
      <c r="AW57" s="1045">
        <f t="shared" si="10"/>
        <v>0</v>
      </c>
      <c r="AX57" s="1045">
        <f t="shared" si="11"/>
        <v>0</v>
      </c>
      <c r="AY57" s="1045">
        <f t="shared" si="12"/>
        <v>0</v>
      </c>
    </row>
    <row r="58" spans="35:51">
      <c r="AI58" s="1045" t="s">
        <v>3316</v>
      </c>
      <c r="AJ58" s="1045">
        <f t="shared" si="17"/>
        <v>0</v>
      </c>
      <c r="AK58" s="1045">
        <f t="shared" si="18"/>
        <v>0</v>
      </c>
      <c r="AL58" s="1045">
        <f t="shared" si="19"/>
        <v>13</v>
      </c>
      <c r="AN58" s="1045" t="s">
        <v>3286</v>
      </c>
      <c r="AO58" s="1045">
        <f t="shared" si="13"/>
        <v>240</v>
      </c>
      <c r="AP58" s="1045">
        <f t="shared" si="3"/>
        <v>-2.8359799244613972</v>
      </c>
      <c r="AQ58" s="1045">
        <f t="shared" si="4"/>
        <v>0.94890560892662634</v>
      </c>
      <c r="AR58" s="1045">
        <f t="shared" si="5"/>
        <v>-3.9703718942459556</v>
      </c>
      <c r="AS58" s="1045">
        <f t="shared" si="6"/>
        <v>1.3284678524972779</v>
      </c>
      <c r="AT58" s="1045">
        <f t="shared" si="7"/>
        <v>5.3485025508408039</v>
      </c>
      <c r="AU58" s="1045">
        <f t="shared" si="8"/>
        <v>0.2770622072147203</v>
      </c>
      <c r="AV58" s="1045">
        <f t="shared" si="9"/>
        <v>0</v>
      </c>
      <c r="AW58" s="1045">
        <f t="shared" si="10"/>
        <v>0</v>
      </c>
      <c r="AX58" s="1045">
        <f t="shared" si="11"/>
        <v>0</v>
      </c>
      <c r="AY58" s="1045">
        <f t="shared" si="12"/>
        <v>0</v>
      </c>
    </row>
    <row r="59" spans="35:51">
      <c r="AI59" s="1045" t="s">
        <v>3317</v>
      </c>
      <c r="AJ59" s="1045">
        <f t="shared" si="17"/>
        <v>0</v>
      </c>
      <c r="AK59" s="1045">
        <f t="shared" si="18"/>
        <v>0</v>
      </c>
      <c r="AL59" s="1045">
        <f t="shared" si="19"/>
        <v>14</v>
      </c>
      <c r="AN59" s="1045" t="s">
        <v>3287</v>
      </c>
      <c r="AO59" s="1045">
        <f t="shared" si="13"/>
        <v>250</v>
      </c>
      <c r="AP59" s="1045">
        <f t="shared" si="3"/>
        <v>-1.6511309994039078</v>
      </c>
      <c r="AQ59" s="1045">
        <f t="shared" si="4"/>
        <v>0.39640148141560161</v>
      </c>
      <c r="AR59" s="1045">
        <f t="shared" si="5"/>
        <v>-2.3115833991654711</v>
      </c>
      <c r="AS59" s="1045">
        <f t="shared" si="6"/>
        <v>0.55496207398184261</v>
      </c>
      <c r="AT59" s="1045">
        <f t="shared" si="7"/>
        <v>3.2157744857373349</v>
      </c>
      <c r="AU59" s="1045">
        <f t="shared" si="8"/>
        <v>1.271569636734561</v>
      </c>
      <c r="AV59" s="1045">
        <f t="shared" si="9"/>
        <v>0</v>
      </c>
      <c r="AW59" s="1045">
        <f t="shared" si="10"/>
        <v>0</v>
      </c>
      <c r="AX59" s="1045">
        <f t="shared" si="11"/>
        <v>0</v>
      </c>
      <c r="AY59" s="1045">
        <f t="shared" si="12"/>
        <v>0</v>
      </c>
    </row>
    <row r="60" spans="35:51">
      <c r="AI60" s="1045" t="s">
        <v>3318</v>
      </c>
      <c r="AJ60" s="1045">
        <f t="shared" si="17"/>
        <v>0</v>
      </c>
      <c r="AK60" s="1045">
        <f t="shared" si="18"/>
        <v>0</v>
      </c>
      <c r="AL60" s="1045">
        <f t="shared" si="19"/>
        <v>15</v>
      </c>
      <c r="AN60" s="1045" t="s">
        <v>3289</v>
      </c>
      <c r="AO60" s="1045">
        <f t="shared" si="13"/>
        <v>260</v>
      </c>
      <c r="AP60" s="1045">
        <f t="shared" si="3"/>
        <v>-0.38834125696337118</v>
      </c>
      <c r="AQ60" s="1045">
        <f t="shared" si="4"/>
        <v>5.8037989718354055E-2</v>
      </c>
      <c r="AR60" s="1045">
        <f t="shared" si="5"/>
        <v>-0.5436777597487199</v>
      </c>
      <c r="AS60" s="1045">
        <f t="shared" si="6"/>
        <v>8.1253185605696387E-2</v>
      </c>
      <c r="AT60" s="1045">
        <f t="shared" si="7"/>
        <v>0.94275294934436871</v>
      </c>
      <c r="AU60" s="1045">
        <f t="shared" si="8"/>
        <v>1.8806239217896041</v>
      </c>
      <c r="AV60" s="1045">
        <f t="shared" si="9"/>
        <v>0</v>
      </c>
      <c r="AW60" s="1045">
        <f t="shared" si="10"/>
        <v>0</v>
      </c>
      <c r="AX60" s="1045">
        <f t="shared" si="11"/>
        <v>0</v>
      </c>
      <c r="AY60" s="1045">
        <f t="shared" si="12"/>
        <v>0</v>
      </c>
    </row>
    <row r="61" spans="35:51">
      <c r="AI61" s="1045" t="s">
        <v>3319</v>
      </c>
      <c r="AJ61" s="1045">
        <f t="shared" si="17"/>
        <v>0</v>
      </c>
      <c r="AK61" s="1045">
        <f t="shared" si="18"/>
        <v>0</v>
      </c>
      <c r="AL61" s="1045">
        <f t="shared" si="19"/>
        <v>16</v>
      </c>
      <c r="AN61" s="1045" t="s">
        <v>3291</v>
      </c>
      <c r="AO61" s="1045">
        <f t="shared" si="13"/>
        <v>270</v>
      </c>
      <c r="AP61" s="1045">
        <f t="shared" si="3"/>
        <v>0.91402007553860487</v>
      </c>
      <c r="AQ61" s="1045">
        <f t="shared" si="4"/>
        <v>-5.5903862690085404E-2</v>
      </c>
      <c r="AR61" s="1045">
        <f t="shared" si="5"/>
        <v>1.2796281057540466</v>
      </c>
      <c r="AS61" s="1045">
        <f t="shared" si="6"/>
        <v>-7.8265407766119566E-2</v>
      </c>
      <c r="AT61" s="1045">
        <f t="shared" si="7"/>
        <v>-1.4014974491591881</v>
      </c>
      <c r="AU61" s="1045">
        <f t="shared" si="8"/>
        <v>2.0857192561247966</v>
      </c>
      <c r="AV61" s="1045">
        <f t="shared" si="9"/>
        <v>0</v>
      </c>
      <c r="AW61" s="1045">
        <f t="shared" si="10"/>
        <v>0</v>
      </c>
      <c r="AX61" s="1045">
        <f t="shared" si="11"/>
        <v>0</v>
      </c>
      <c r="AY61" s="1045">
        <f t="shared" si="12"/>
        <v>0</v>
      </c>
    </row>
    <row r="62" spans="35:51">
      <c r="AI62" s="1045" t="s">
        <v>3320</v>
      </c>
      <c r="AJ62" s="1045">
        <f t="shared" si="17"/>
        <v>0</v>
      </c>
      <c r="AK62" s="1045">
        <f t="shared" si="18"/>
        <v>0</v>
      </c>
      <c r="AL62" s="1045">
        <f t="shared" si="19"/>
        <v>17</v>
      </c>
      <c r="AN62" s="1045" t="s">
        <v>3293</v>
      </c>
      <c r="AO62" s="1045">
        <f t="shared" si="13"/>
        <v>280</v>
      </c>
      <c r="AP62" s="1045">
        <f t="shared" si="3"/>
        <v>2.216381408040581</v>
      </c>
      <c r="AQ62" s="1045">
        <f t="shared" si="4"/>
        <v>5.8037989718354055E-2</v>
      </c>
      <c r="AR62" s="1045">
        <f t="shared" si="5"/>
        <v>3.1029339712568134</v>
      </c>
      <c r="AS62" s="1045">
        <f t="shared" si="6"/>
        <v>8.1253185605694611E-2</v>
      </c>
      <c r="AT62" s="1045">
        <f t="shared" si="7"/>
        <v>-3.745747847662745</v>
      </c>
      <c r="AU62" s="1045">
        <f t="shared" si="8"/>
        <v>1.8806239217896059</v>
      </c>
      <c r="AV62" s="1045">
        <f t="shared" si="9"/>
        <v>0</v>
      </c>
      <c r="AW62" s="1045">
        <f t="shared" si="10"/>
        <v>0</v>
      </c>
      <c r="AX62" s="1045">
        <f t="shared" si="11"/>
        <v>0</v>
      </c>
      <c r="AY62" s="1045">
        <f t="shared" si="12"/>
        <v>0</v>
      </c>
    </row>
    <row r="63" spans="35:51">
      <c r="AI63" s="1045" t="s">
        <v>3321</v>
      </c>
      <c r="AJ63" s="1045">
        <f t="shared" si="17"/>
        <v>0</v>
      </c>
      <c r="AK63" s="1045">
        <f t="shared" si="18"/>
        <v>0</v>
      </c>
      <c r="AL63" s="1045">
        <f t="shared" si="19"/>
        <v>18</v>
      </c>
      <c r="AN63" s="1045" t="s">
        <v>3295</v>
      </c>
      <c r="AO63" s="1045">
        <f t="shared" si="13"/>
        <v>290</v>
      </c>
      <c r="AP63" s="1045">
        <f t="shared" si="3"/>
        <v>3.4791711504811236</v>
      </c>
      <c r="AQ63" s="1045">
        <f t="shared" si="4"/>
        <v>0.3964014814156025</v>
      </c>
      <c r="AR63" s="1045">
        <f t="shared" si="5"/>
        <v>4.8708396106735732</v>
      </c>
      <c r="AS63" s="1045">
        <f t="shared" si="6"/>
        <v>0.55496207398184261</v>
      </c>
      <c r="AT63" s="1045">
        <f t="shared" si="7"/>
        <v>-6.0187693840557115</v>
      </c>
      <c r="AU63" s="1045">
        <f t="shared" si="8"/>
        <v>1.2715696367345628</v>
      </c>
      <c r="AV63" s="1045">
        <f t="shared" si="9"/>
        <v>0</v>
      </c>
      <c r="AW63" s="1045">
        <f t="shared" si="10"/>
        <v>0</v>
      </c>
      <c r="AX63" s="1045">
        <f t="shared" si="11"/>
        <v>0</v>
      </c>
      <c r="AY63" s="1045">
        <f t="shared" si="12"/>
        <v>0</v>
      </c>
    </row>
    <row r="64" spans="35:51">
      <c r="AI64" s="1045" t="s">
        <v>3322</v>
      </c>
      <c r="AJ64" s="1045">
        <f t="shared" si="17"/>
        <v>0</v>
      </c>
      <c r="AK64" s="1045">
        <f t="shared" si="18"/>
        <v>0</v>
      </c>
      <c r="AL64" s="1045">
        <f t="shared" si="19"/>
        <v>19</v>
      </c>
      <c r="AN64" s="1045" t="s">
        <v>3297</v>
      </c>
      <c r="AO64" s="1045">
        <f t="shared" si="13"/>
        <v>300</v>
      </c>
      <c r="AP64" s="1045">
        <f t="shared" si="3"/>
        <v>4.6640200755386072</v>
      </c>
      <c r="AQ64" s="1045">
        <f t="shared" si="4"/>
        <v>0.94890560892662545</v>
      </c>
      <c r="AR64" s="1045">
        <f t="shared" si="5"/>
        <v>6.5296281057540497</v>
      </c>
      <c r="AS64" s="1045">
        <f t="shared" si="6"/>
        <v>1.3284678524972744</v>
      </c>
      <c r="AT64" s="1045">
        <f t="shared" si="7"/>
        <v>-8.1514974491591801</v>
      </c>
      <c r="AU64" s="1045">
        <f t="shared" si="8"/>
        <v>0.27706220721472563</v>
      </c>
      <c r="AV64" s="1045">
        <f t="shared" si="9"/>
        <v>0</v>
      </c>
      <c r="AW64" s="1045">
        <f t="shared" si="10"/>
        <v>0</v>
      </c>
      <c r="AX64" s="1045">
        <f t="shared" si="11"/>
        <v>0</v>
      </c>
      <c r="AY64" s="1045">
        <f t="shared" si="12"/>
        <v>0</v>
      </c>
    </row>
    <row r="65" spans="35:51">
      <c r="AI65" s="1045" t="s">
        <v>3323</v>
      </c>
      <c r="AJ65" s="1045">
        <f t="shared" si="17"/>
        <v>0</v>
      </c>
      <c r="AK65" s="1045">
        <f t="shared" si="18"/>
        <v>0</v>
      </c>
      <c r="AL65" s="1045">
        <f t="shared" si="19"/>
        <v>20</v>
      </c>
      <c r="AN65" s="1045" t="s">
        <v>3299</v>
      </c>
      <c r="AO65" s="1045">
        <f t="shared" si="13"/>
        <v>310</v>
      </c>
      <c r="AP65" s="1045">
        <f t="shared" si="3"/>
        <v>5.7349271481876505</v>
      </c>
      <c r="AQ65" s="1045">
        <f t="shared" si="4"/>
        <v>1.698762813917579</v>
      </c>
      <c r="AR65" s="1045">
        <f t="shared" si="5"/>
        <v>8.0288980074627112</v>
      </c>
      <c r="AS65" s="1045">
        <f t="shared" si="6"/>
        <v>2.3782679394846102</v>
      </c>
      <c r="AT65" s="1045">
        <f t="shared" si="7"/>
        <v>-10.079130179927478</v>
      </c>
      <c r="AU65" s="1045">
        <f t="shared" si="8"/>
        <v>-1.0726807617690057</v>
      </c>
      <c r="AV65" s="1045">
        <f t="shared" si="9"/>
        <v>0</v>
      </c>
      <c r="AW65" s="1045">
        <f t="shared" si="10"/>
        <v>0</v>
      </c>
      <c r="AX65" s="1045">
        <f t="shared" si="11"/>
        <v>0</v>
      </c>
      <c r="AY65" s="1045">
        <f t="shared" si="12"/>
        <v>0</v>
      </c>
    </row>
    <row r="66" spans="35:51">
      <c r="AI66" s="1045" t="s">
        <v>3324</v>
      </c>
      <c r="AJ66" s="1045">
        <f t="shared" si="17"/>
        <v>0</v>
      </c>
      <c r="AK66" s="1045">
        <f t="shared" si="18"/>
        <v>0</v>
      </c>
      <c r="AL66" s="1045">
        <f t="shared" si="19"/>
        <v>21</v>
      </c>
      <c r="AN66" s="1045" t="s">
        <v>3301</v>
      </c>
      <c r="AO66" s="1045">
        <f t="shared" si="13"/>
        <v>320</v>
      </c>
      <c r="AP66" s="1045">
        <f t="shared" si="3"/>
        <v>6.6593533989309401</v>
      </c>
      <c r="AQ66" s="1045">
        <f t="shared" si="4"/>
        <v>2.6231890646608678</v>
      </c>
      <c r="AR66" s="1045">
        <f t="shared" si="5"/>
        <v>9.3230947585033146</v>
      </c>
      <c r="AS66" s="1045">
        <f t="shared" si="6"/>
        <v>3.6724646905252145</v>
      </c>
      <c r="AT66" s="1045">
        <f t="shared" si="7"/>
        <v>-11.743097431265401</v>
      </c>
      <c r="AU66" s="1045">
        <f t="shared" si="8"/>
        <v>-2.7366480131069264</v>
      </c>
      <c r="AV66" s="1045">
        <f t="shared" si="9"/>
        <v>0</v>
      </c>
      <c r="AW66" s="1045">
        <f t="shared" si="10"/>
        <v>0</v>
      </c>
      <c r="AX66" s="1045">
        <f t="shared" si="11"/>
        <v>0</v>
      </c>
      <c r="AY66" s="1045">
        <f t="shared" si="12"/>
        <v>0</v>
      </c>
    </row>
    <row r="67" spans="35:51">
      <c r="AI67" s="1045" t="s">
        <v>3325</v>
      </c>
      <c r="AJ67" s="1045">
        <f t="shared" si="17"/>
        <v>0</v>
      </c>
      <c r="AK67" s="1045">
        <f t="shared" si="18"/>
        <v>0</v>
      </c>
      <c r="AL67" s="1045">
        <f t="shared" si="19"/>
        <v>22</v>
      </c>
      <c r="AN67" s="1045" t="s">
        <v>3303</v>
      </c>
      <c r="AO67" s="1045">
        <f t="shared" si="13"/>
        <v>330</v>
      </c>
      <c r="AP67" s="1045">
        <f t="shared" si="3"/>
        <v>7.4092106039218946</v>
      </c>
      <c r="AQ67" s="1045">
        <f t="shared" si="4"/>
        <v>3.694096137309911</v>
      </c>
      <c r="AR67" s="1045">
        <f t="shared" si="5"/>
        <v>10.37289484549065</v>
      </c>
      <c r="AS67" s="1045">
        <f t="shared" si="6"/>
        <v>5.171734592233876</v>
      </c>
      <c r="AT67" s="1045">
        <f t="shared" si="7"/>
        <v>-13.092840400249116</v>
      </c>
      <c r="AU67" s="1045">
        <f t="shared" si="8"/>
        <v>-4.6642807438752065</v>
      </c>
      <c r="AV67" s="1045">
        <f t="shared" si="9"/>
        <v>0</v>
      </c>
      <c r="AW67" s="1045">
        <f t="shared" si="10"/>
        <v>0</v>
      </c>
      <c r="AX67" s="1045">
        <f t="shared" si="11"/>
        <v>0</v>
      </c>
      <c r="AY67" s="1045">
        <f t="shared" si="12"/>
        <v>0</v>
      </c>
    </row>
    <row r="68" spans="35:51">
      <c r="AI68" s="1045" t="s">
        <v>3326</v>
      </c>
      <c r="AJ68" s="1045">
        <f t="shared" si="17"/>
        <v>0</v>
      </c>
      <c r="AK68" s="1045">
        <f t="shared" si="18"/>
        <v>0</v>
      </c>
      <c r="AL68" s="1045">
        <f t="shared" si="19"/>
        <v>23</v>
      </c>
      <c r="AN68" s="1045" t="s">
        <v>3304</v>
      </c>
      <c r="AO68" s="1045">
        <f t="shared" si="13"/>
        <v>340</v>
      </c>
      <c r="AP68" s="1045">
        <f t="shared" si="3"/>
        <v>7.9617147314329193</v>
      </c>
      <c r="AQ68" s="1045">
        <f t="shared" si="4"/>
        <v>4.8789450623674</v>
      </c>
      <c r="AR68" s="1045">
        <f t="shared" si="5"/>
        <v>11.146400624006086</v>
      </c>
      <c r="AS68" s="1045">
        <f t="shared" si="6"/>
        <v>6.8305230873143596</v>
      </c>
      <c r="AT68" s="1045">
        <f t="shared" si="7"/>
        <v>-14.087347829768955</v>
      </c>
      <c r="AU68" s="1045">
        <f t="shared" si="8"/>
        <v>-6.797008808978676</v>
      </c>
      <c r="AV68" s="1045">
        <f t="shared" si="9"/>
        <v>0</v>
      </c>
      <c r="AW68" s="1045">
        <f t="shared" si="10"/>
        <v>0</v>
      </c>
      <c r="AX68" s="1045">
        <f t="shared" si="11"/>
        <v>0</v>
      </c>
      <c r="AY68" s="1045">
        <f t="shared" si="12"/>
        <v>0</v>
      </c>
    </row>
    <row r="69" spans="35:51">
      <c r="AI69" s="1045" t="s">
        <v>3327</v>
      </c>
      <c r="AJ69" s="1045">
        <f t="shared" si="17"/>
        <v>0</v>
      </c>
      <c r="AK69" s="1045">
        <f t="shared" si="18"/>
        <v>0</v>
      </c>
      <c r="AL69" s="1045">
        <f t="shared" si="19"/>
        <v>24</v>
      </c>
      <c r="AN69" s="1045" t="s">
        <v>3305</v>
      </c>
      <c r="AO69" s="1045">
        <f t="shared" si="13"/>
        <v>350</v>
      </c>
      <c r="AP69" s="1045">
        <f t="shared" si="3"/>
        <v>8.300078223130166</v>
      </c>
      <c r="AQ69" s="1045">
        <f t="shared" si="4"/>
        <v>6.1417348048079372</v>
      </c>
      <c r="AR69" s="1045">
        <f t="shared" si="5"/>
        <v>11.620109512382232</v>
      </c>
      <c r="AS69" s="1045">
        <f t="shared" si="6"/>
        <v>8.598428726731111</v>
      </c>
      <c r="AT69" s="1045">
        <f t="shared" si="7"/>
        <v>-14.696402114824</v>
      </c>
      <c r="AU69" s="1045">
        <f t="shared" si="8"/>
        <v>-9.0700303453716415</v>
      </c>
      <c r="AV69" s="1045">
        <f t="shared" si="9"/>
        <v>0</v>
      </c>
      <c r="AW69" s="1045">
        <f t="shared" si="10"/>
        <v>0</v>
      </c>
      <c r="AX69" s="1045">
        <f t="shared" si="11"/>
        <v>0</v>
      </c>
      <c r="AY69" s="1045">
        <f t="shared" si="12"/>
        <v>0</v>
      </c>
    </row>
    <row r="70" spans="35:51">
      <c r="AI70" s="1045" t="s">
        <v>3328</v>
      </c>
      <c r="AJ70" s="1045">
        <f t="shared" si="17"/>
        <v>0</v>
      </c>
      <c r="AK70" s="1045">
        <f t="shared" si="18"/>
        <v>0</v>
      </c>
      <c r="AL70" s="1045">
        <f t="shared" si="19"/>
        <v>25</v>
      </c>
      <c r="AN70" s="1045" t="s">
        <v>3306</v>
      </c>
      <c r="AO70" s="1045">
        <f t="shared" si="13"/>
        <v>360</v>
      </c>
      <c r="AP70" s="1045">
        <f t="shared" si="3"/>
        <v>8.4140200755386054</v>
      </c>
      <c r="AQ70" s="1045">
        <f t="shared" si="4"/>
        <v>7.4440961373099128</v>
      </c>
      <c r="AR70" s="1045">
        <f t="shared" si="5"/>
        <v>11.779628105754048</v>
      </c>
      <c r="AS70" s="1045">
        <f t="shared" si="6"/>
        <v>10.421734592233879</v>
      </c>
      <c r="AT70" s="1045">
        <f t="shared" si="7"/>
        <v>-14.901497449159191</v>
      </c>
      <c r="AU70" s="1045">
        <f t="shared" si="8"/>
        <v>-11.414280743875198</v>
      </c>
      <c r="AV70" s="1045">
        <f t="shared" si="9"/>
        <v>0</v>
      </c>
      <c r="AW70" s="1045">
        <f t="shared" si="10"/>
        <v>0</v>
      </c>
      <c r="AX70" s="1045">
        <f t="shared" si="11"/>
        <v>0</v>
      </c>
      <c r="AY70" s="1045">
        <f t="shared" si="12"/>
        <v>0</v>
      </c>
    </row>
    <row r="71" spans="35:51">
      <c r="AI71" s="1045" t="s">
        <v>3329</v>
      </c>
      <c r="AJ71" s="1045">
        <f t="shared" si="17"/>
        <v>0</v>
      </c>
      <c r="AK71" s="1045">
        <f t="shared" si="18"/>
        <v>0</v>
      </c>
      <c r="AL71" s="1045">
        <f t="shared" si="19"/>
        <v>26</v>
      </c>
    </row>
    <row r="72" spans="35:51">
      <c r="AI72" s="1045" t="s">
        <v>3330</v>
      </c>
      <c r="AJ72" s="1045">
        <f t="shared" si="17"/>
        <v>0</v>
      </c>
      <c r="AK72" s="1045">
        <f t="shared" si="18"/>
        <v>0</v>
      </c>
      <c r="AL72" s="1045">
        <f t="shared" si="19"/>
        <v>27</v>
      </c>
    </row>
    <row r="73" spans="35:51">
      <c r="AI73" s="1045" t="s">
        <v>3331</v>
      </c>
      <c r="AJ73" s="1045">
        <f t="shared" si="17"/>
        <v>0</v>
      </c>
      <c r="AK73" s="1045">
        <f t="shared" si="18"/>
        <v>0</v>
      </c>
      <c r="AL73" s="1045">
        <f t="shared" si="19"/>
        <v>28</v>
      </c>
    </row>
    <row r="74" spans="35:51">
      <c r="AI74" s="1045" t="s">
        <v>3332</v>
      </c>
      <c r="AJ74" s="1045">
        <f t="shared" si="17"/>
        <v>0</v>
      </c>
      <c r="AK74" s="1045">
        <f t="shared" si="18"/>
        <v>0</v>
      </c>
      <c r="AL74" s="1045">
        <f t="shared" si="19"/>
        <v>29</v>
      </c>
    </row>
    <row r="75" spans="35:51">
      <c r="AI75" s="1045" t="s">
        <v>3333</v>
      </c>
      <c r="AJ75" s="1045">
        <f t="shared" si="17"/>
        <v>0</v>
      </c>
      <c r="AK75" s="1045">
        <f t="shared" si="18"/>
        <v>0</v>
      </c>
      <c r="AL75" s="1045">
        <f t="shared" si="19"/>
        <v>30</v>
      </c>
    </row>
    <row r="76" spans="35:51">
      <c r="AI76" s="1045" t="s">
        <v>3334</v>
      </c>
      <c r="AJ76" s="1045">
        <f t="shared" ref="AJ76:AJ86" si="20" xml:space="preserve"> IF(AND($C$45&lt;0, $C$44&gt;0),($C$35 *COS(($C$44+AL76*(($C$45-($C$44-360))/10))*PI()/180) + $C$34),($C$35 *COS(($C$44+AL76*(($C$45-$C$44)/10))*PI()/180) + $C$34))</f>
        <v>0</v>
      </c>
      <c r="AK76" s="1045">
        <f t="shared" ref="AK76:AK86" si="21" xml:space="preserve">  IF(AND($C$45&lt;0, $C$44&gt;0),($C$35 *SIN(($C$44+AL76*(($C$45-($C$44-360))/10))*PI()/180) + $D$34), ($C$35 *SIN(($C$44+AL76*(($C$45-$C$44)/10))*PI()/180) + $D$34))</f>
        <v>0</v>
      </c>
      <c r="AL76" s="1045">
        <v>0</v>
      </c>
    </row>
    <row r="77" spans="35:51">
      <c r="AI77" s="1045" t="s">
        <v>3335</v>
      </c>
      <c r="AJ77" s="1045">
        <f t="shared" si="20"/>
        <v>0</v>
      </c>
      <c r="AK77" s="1045">
        <f t="shared" si="21"/>
        <v>0</v>
      </c>
      <c r="AL77" s="1045">
        <f t="shared" ref="AL77:AL86" si="22">AL76+1</f>
        <v>1</v>
      </c>
    </row>
    <row r="78" spans="35:51">
      <c r="AI78" s="1045" t="s">
        <v>3336</v>
      </c>
      <c r="AJ78" s="1045">
        <f t="shared" si="20"/>
        <v>0</v>
      </c>
      <c r="AK78" s="1045">
        <f t="shared" si="21"/>
        <v>0</v>
      </c>
      <c r="AL78" s="1045">
        <f t="shared" si="22"/>
        <v>2</v>
      </c>
    </row>
    <row r="79" spans="35:51">
      <c r="AI79" s="1045" t="s">
        <v>3337</v>
      </c>
      <c r="AJ79" s="1045">
        <f t="shared" si="20"/>
        <v>0</v>
      </c>
      <c r="AK79" s="1045">
        <f t="shared" si="21"/>
        <v>0</v>
      </c>
      <c r="AL79" s="1045">
        <f t="shared" si="22"/>
        <v>3</v>
      </c>
    </row>
    <row r="80" spans="35:51">
      <c r="AI80" s="1045" t="s">
        <v>3338</v>
      </c>
      <c r="AJ80" s="1045">
        <f t="shared" si="20"/>
        <v>0</v>
      </c>
      <c r="AK80" s="1045">
        <f t="shared" si="21"/>
        <v>0</v>
      </c>
      <c r="AL80" s="1045">
        <f t="shared" si="22"/>
        <v>4</v>
      </c>
    </row>
    <row r="81" spans="35:38">
      <c r="AI81" s="1045" t="s">
        <v>3339</v>
      </c>
      <c r="AJ81" s="1045">
        <f t="shared" si="20"/>
        <v>0</v>
      </c>
      <c r="AK81" s="1045">
        <f t="shared" si="21"/>
        <v>0</v>
      </c>
      <c r="AL81" s="1045">
        <f t="shared" si="22"/>
        <v>5</v>
      </c>
    </row>
    <row r="82" spans="35:38">
      <c r="AI82" s="1045" t="s">
        <v>3340</v>
      </c>
      <c r="AJ82" s="1045">
        <f t="shared" si="20"/>
        <v>0</v>
      </c>
      <c r="AK82" s="1045">
        <f t="shared" si="21"/>
        <v>0</v>
      </c>
      <c r="AL82" s="1045">
        <f t="shared" si="22"/>
        <v>6</v>
      </c>
    </row>
    <row r="83" spans="35:38">
      <c r="AI83" s="1045" t="s">
        <v>3341</v>
      </c>
      <c r="AJ83" s="1045">
        <f t="shared" si="20"/>
        <v>0</v>
      </c>
      <c r="AK83" s="1045">
        <f t="shared" si="21"/>
        <v>0</v>
      </c>
      <c r="AL83" s="1045">
        <f t="shared" si="22"/>
        <v>7</v>
      </c>
    </row>
    <row r="84" spans="35:38">
      <c r="AI84" s="1045" t="s">
        <v>3342</v>
      </c>
      <c r="AJ84" s="1045">
        <f t="shared" si="20"/>
        <v>0</v>
      </c>
      <c r="AK84" s="1045">
        <f t="shared" si="21"/>
        <v>0</v>
      </c>
      <c r="AL84" s="1045">
        <f t="shared" si="22"/>
        <v>8</v>
      </c>
    </row>
    <row r="85" spans="35:38">
      <c r="AI85" s="1045" t="s">
        <v>3343</v>
      </c>
      <c r="AJ85" s="1045">
        <f t="shared" si="20"/>
        <v>0</v>
      </c>
      <c r="AK85" s="1045">
        <f t="shared" si="21"/>
        <v>0</v>
      </c>
      <c r="AL85" s="1045">
        <f t="shared" si="22"/>
        <v>9</v>
      </c>
    </row>
    <row r="86" spans="35:38">
      <c r="AI86" s="1045" t="s">
        <v>3344</v>
      </c>
      <c r="AJ86" s="1045">
        <f t="shared" si="20"/>
        <v>0</v>
      </c>
      <c r="AK86" s="1045">
        <f t="shared" si="21"/>
        <v>0</v>
      </c>
      <c r="AL86" s="1045">
        <f t="shared" si="22"/>
        <v>10</v>
      </c>
    </row>
    <row r="87" spans="35:38">
      <c r="AI87" s="1045" t="s">
        <v>3345</v>
      </c>
      <c r="AJ87" s="1045">
        <f>AJ3</f>
        <v>0</v>
      </c>
      <c r="AK87" s="1045">
        <f>AK3</f>
        <v>0</v>
      </c>
      <c r="AL87" s="1045" t="s">
        <v>3346</v>
      </c>
    </row>
  </sheetData>
  <sheetProtection algorithmName="SHA-512" hashValue="NtMJG/TPHIhEo5KJk3nkRLZalo2T18FjwK7IXWAnw+d9fRw41EItjurHecVnaZnP3lmgSX4qPdQhmbrblSbUvQ==" saltValue="x7gHiyqCC2SZMB6UOEBW6w==" spinCount="100000" sheet="1" objects="1" scenarios="1"/>
  <mergeCells count="4">
    <mergeCell ref="B9:F9"/>
    <mergeCell ref="B5:D5"/>
    <mergeCell ref="B17:D17"/>
    <mergeCell ref="B36:D36"/>
  </mergeCell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E7C12-CD37-40CF-8CB2-1DA747379CE9}">
  <sheetPr codeName="Sheet31"/>
  <dimension ref="A27:A28"/>
  <sheetViews>
    <sheetView topLeftCell="A23" zoomScale="70" zoomScaleNormal="70" workbookViewId="0">
      <selection activeCell="K83" sqref="K83"/>
    </sheetView>
  </sheetViews>
  <sheetFormatPr defaultRowHeight="13.2"/>
  <cols>
    <col min="1" max="1" width="64.5546875" bestFit="1" customWidth="1"/>
    <col min="2" max="19" width="9" customWidth="1"/>
  </cols>
  <sheetData>
    <row r="27" hidden="1"/>
    <row r="28" hidden="1"/>
  </sheetData>
  <sheetProtection algorithmName="SHA-512" hashValue="aeS+kGw5r7vN2nVWgcOIJu3KUuPvpkHzcOD39ecQV1iu8Pp46wDHfH3WcxJuY+we4771L60/p4NGqgtlGIVegQ==" saltValue="lv5ifEQ9lC5783gBhgDg8w==" spinCount="100000" sheet="1" objects="1" scenarios="1"/>
  <dataConsolidate/>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16031-86C9-413C-8226-56FD1AD1B3D3}">
  <sheetPr codeName="Sheet32"/>
  <dimension ref="A1"/>
  <sheetViews>
    <sheetView workbookViewId="0">
      <selection sqref="A1:XFD1"/>
    </sheetView>
  </sheetViews>
  <sheetFormatPr defaultRowHeight="13.2"/>
  <cols>
    <col min="1" max="1" width="23.33203125" bestFit="1" customWidth="1"/>
    <col min="2" max="2" width="54.109375" customWidth="1"/>
    <col min="3" max="3" width="14.88671875" bestFit="1" customWidth="1"/>
  </cols>
  <sheetData/>
  <sheetProtection algorithmName="SHA-512" hashValue="HAqeUhDFcp475aqcAZzybAIjM1OA0jNyvyeYspPv9iU5XC7tsuf0d01H/jwjlHCTslXwAJYWaGjJxjwBkmViKg==" saltValue="+3daO81O6sgbgMBtbCqidw==" spinCount="100000" sheet="1" objects="1" scenarios="1"/>
  <pageMargins left="0.7" right="0.7" top="0.75" bottom="0.75" header="0.3" footer="0.3"/>
  <pageSetup orientation="portrait" horizont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F5C23F29E1FC43A4F5945BE461E83C" ma:contentTypeVersion="63" ma:contentTypeDescription="Create a new document." ma:contentTypeScope="" ma:versionID="63d84bbe52c76a1ce62328e51acf340f">
  <xsd:schema xmlns:xsd="http://www.w3.org/2001/XMLSchema" xmlns:xs="http://www.w3.org/2001/XMLSchema" xmlns:p="http://schemas.microsoft.com/office/2006/metadata/properties" xmlns:ns2="8b455c1d-03bf-4f97-882c-5c6235d53435" targetNamespace="http://schemas.microsoft.com/office/2006/metadata/properties" ma:root="true" ma:fieldsID="2358b5ca33f2d13a9c67d0c6497de284" ns2:_="">
    <xsd:import namespace="8b455c1d-03bf-4f97-882c-5c6235d53435"/>
    <xsd:element name="properties">
      <xsd:complexType>
        <xsd:sequence>
          <xsd:element name="documentManagement">
            <xsd:complexType>
              <xsd:all>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455c1d-03bf-4f97-882c-5c6235d53435" elementFormDefault="qualified">
    <xsd:import namespace="http://schemas.microsoft.com/office/2006/documentManagement/types"/>
    <xsd:import namespace="http://schemas.microsoft.com/office/infopath/2007/PartnerControls"/>
    <xsd:element name="MediaServiceObjectDetectorVersions" ma:index="8" nillable="true" ma:displayName="MediaServiceObjectDetectorVersions" ma:hidden="true" ma:indexed="true" ma:internalName="MediaServiceObjectDetectorVersions" ma:readOnly="true">
      <xsd:simpleType>
        <xsd:restriction base="dms:Text"/>
      </xsd:simpleType>
    </xsd:element>
    <xsd:element name="MediaServiceSearchProperties" ma:index="9"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FA3637-B939-438C-B90A-B4E20F06E6FB}">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A542C82-F1C8-4650-9582-F1D24CC18000}">
  <ds:schemaRefs>
    <ds:schemaRef ds:uri="http://schemas.microsoft.com/sharepoint/v3/contenttype/forms"/>
  </ds:schemaRefs>
</ds:datastoreItem>
</file>

<file path=customXml/itemProps3.xml><?xml version="1.0" encoding="utf-8"?>
<ds:datastoreItem xmlns:ds="http://schemas.openxmlformats.org/officeDocument/2006/customXml" ds:itemID="{80C8D9D4-DCF8-404E-AA14-1FBE89259A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455c1d-03bf-4f97-882c-5c6235d534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372</vt:i4>
      </vt:variant>
    </vt:vector>
  </HeadingPairs>
  <TitlesOfParts>
    <vt:vector size="404" baseType="lpstr">
      <vt:lpstr>1) Data Entry</vt:lpstr>
      <vt:lpstr>PRC-025 Generator Data Sheet</vt:lpstr>
      <vt:lpstr>2) Project System</vt:lpstr>
      <vt:lpstr>3) Aspen Impedances</vt:lpstr>
      <vt:lpstr>4) Fault Analysis</vt:lpstr>
      <vt:lpstr>5) Infeed</vt:lpstr>
      <vt:lpstr>6) Zone Imp</vt:lpstr>
      <vt:lpstr>7) Relay Calc</vt:lpstr>
      <vt:lpstr>8) LOP &amp; Ground TOC</vt:lpstr>
      <vt:lpstr>9) Transfer Trip</vt:lpstr>
      <vt:lpstr>10) SOTF</vt:lpstr>
      <vt:lpstr>11) BF Fault Det</vt:lpstr>
      <vt:lpstr>BF Fault Det (2)</vt:lpstr>
      <vt:lpstr>12) Close &amp; Sync Check</vt:lpstr>
      <vt:lpstr>13) NERC PRC Compliance Sheet</vt:lpstr>
      <vt:lpstr>14) References</vt:lpstr>
      <vt:lpstr>15) Notes &amp; Additional Calcs</vt:lpstr>
      <vt:lpstr>SEL-421-5 Relay Settings </vt:lpstr>
      <vt:lpstr>16) Summary Sheet2</vt:lpstr>
      <vt:lpstr>SEL-411L Relay Settings</vt:lpstr>
      <vt:lpstr>SEL-311C-1 Relay Settings</vt:lpstr>
      <vt:lpstr>SEL-311C-0 Relay Settings</vt:lpstr>
      <vt:lpstr>SEL-311L Relay Settings</vt:lpstr>
      <vt:lpstr>16) Summary Sheet</vt:lpstr>
      <vt:lpstr>16) Export SEL-421-3</vt:lpstr>
      <vt:lpstr>17) Backup</vt:lpstr>
      <vt:lpstr>18) Export SEL-311C</vt:lpstr>
      <vt:lpstr>Log Sheet</vt:lpstr>
      <vt:lpstr>SDA Translation Table</vt:lpstr>
      <vt:lpstr>PRC-026 Evaluation</vt:lpstr>
      <vt:lpstr>SDA Raw Results</vt:lpstr>
      <vt:lpstr>SDA Log</vt:lpstr>
      <vt:lpstr>'16) Summary Sheet2'!_25VH</vt:lpstr>
      <vt:lpstr>_25VH</vt:lpstr>
      <vt:lpstr>'16) Summary Sheet2'!_25VL</vt:lpstr>
      <vt:lpstr>_25VL</vt:lpstr>
      <vt:lpstr>'16) Summary Sheet2'!_27BK1P</vt:lpstr>
      <vt:lpstr>_27BK1P</vt:lpstr>
      <vt:lpstr>_27BK2P</vt:lpstr>
      <vt:lpstr>'16) Summary Sheet2'!_27LP</vt:lpstr>
      <vt:lpstr>_27LP</vt:lpstr>
      <vt:lpstr>'16) Summary Sheet2'!_27P</vt:lpstr>
      <vt:lpstr>_27P</vt:lpstr>
      <vt:lpstr>'16) Summary Sheet2'!_27PP</vt:lpstr>
      <vt:lpstr>_27PP</vt:lpstr>
      <vt:lpstr>_421_67P1TC</vt:lpstr>
      <vt:lpstr>'16) Summary Sheet2'!_50FP1</vt:lpstr>
      <vt:lpstr>_50FP1</vt:lpstr>
      <vt:lpstr>'BF Fault Det (2)'!_50FP2</vt:lpstr>
      <vt:lpstr>'16) Summary Sheet2'!_50G2P</vt:lpstr>
      <vt:lpstr>_50G2P</vt:lpstr>
      <vt:lpstr>'16) Summary Sheet2'!_50G3P</vt:lpstr>
      <vt:lpstr>_50G3P</vt:lpstr>
      <vt:lpstr>'16) Summary Sheet2'!_50G4P</vt:lpstr>
      <vt:lpstr>_50G4P</vt:lpstr>
      <vt:lpstr>'16) Summary Sheet2'!_50P1P</vt:lpstr>
      <vt:lpstr>_50P1P</vt:lpstr>
      <vt:lpstr>'16) Summary Sheet2'!_50P2P</vt:lpstr>
      <vt:lpstr>_50P2P</vt:lpstr>
      <vt:lpstr>'16) Summary Sheet2'!_50P3P</vt:lpstr>
      <vt:lpstr>_50P3P</vt:lpstr>
      <vt:lpstr>'16) Summary Sheet2'!_50P4P</vt:lpstr>
      <vt:lpstr>_50P4P</vt:lpstr>
      <vt:lpstr>'16) Summary Sheet2'!_50PP1</vt:lpstr>
      <vt:lpstr>_50PP1</vt:lpstr>
      <vt:lpstr>'16) Summary Sheet2'!_50Q1P</vt:lpstr>
      <vt:lpstr>_50Q1P</vt:lpstr>
      <vt:lpstr>'16) Summary Sheet2'!_50Q4P</vt:lpstr>
      <vt:lpstr>_50Q4P</vt:lpstr>
      <vt:lpstr>'16) Summary Sheet2'!_50RP1</vt:lpstr>
      <vt:lpstr>_50RP1</vt:lpstr>
      <vt:lpstr>'BF Fault Det (2)'!_50RP2</vt:lpstr>
      <vt:lpstr>'16) Summary Sheet2'!_51GP</vt:lpstr>
      <vt:lpstr>_51GP</vt:lpstr>
      <vt:lpstr>'16) Summary Sheet2'!_51PP</vt:lpstr>
      <vt:lpstr>_51PP</vt:lpstr>
      <vt:lpstr>_51QP</vt:lpstr>
      <vt:lpstr>'16) Summary Sheet2'!_51S1P</vt:lpstr>
      <vt:lpstr>_51S1P</vt:lpstr>
      <vt:lpstr>'16) Summary Sheet2'!_59BK1P</vt:lpstr>
      <vt:lpstr>_59BK1P</vt:lpstr>
      <vt:lpstr>_59BK2P</vt:lpstr>
      <vt:lpstr>'16) Summary Sheet2'!_59LP</vt:lpstr>
      <vt:lpstr>_59LP</vt:lpstr>
      <vt:lpstr>'16) Summary Sheet2'!_59N1P</vt:lpstr>
      <vt:lpstr>_59N1P</vt:lpstr>
      <vt:lpstr>'16) Summary Sheet2'!_59N2P</vt:lpstr>
      <vt:lpstr>_59N2P</vt:lpstr>
      <vt:lpstr>'16) Summary Sheet2'!_59P</vt:lpstr>
      <vt:lpstr>_59P</vt:lpstr>
      <vt:lpstr>'16) Summary Sheet2'!_59SP</vt:lpstr>
      <vt:lpstr>_59SP</vt:lpstr>
      <vt:lpstr>'16) Summary Sheet2'!_67G2D</vt:lpstr>
      <vt:lpstr>_67G2D</vt:lpstr>
      <vt:lpstr>_67P1TC</vt:lpstr>
      <vt:lpstr>_87L2P</vt:lpstr>
      <vt:lpstr>_87LGP</vt:lpstr>
      <vt:lpstr>_87LGP_311L</vt:lpstr>
      <vt:lpstr>_87LPP</vt:lpstr>
      <vt:lpstr>_87LPP_311L</vt:lpstr>
      <vt:lpstr>'16) Summary Sheet2'!_AMV004</vt:lpstr>
      <vt:lpstr>_AMV004</vt:lpstr>
      <vt:lpstr>_ASV041_411L</vt:lpstr>
      <vt:lpstr>_ASV041_421</vt:lpstr>
      <vt:lpstr>'16) Summary Sheet2'!_BFPU1</vt:lpstr>
      <vt:lpstr>_BFPU1</vt:lpstr>
      <vt:lpstr>'BF Fault Det (2)'!_BFPU2</vt:lpstr>
      <vt:lpstr>_Breaker_Rating</vt:lpstr>
      <vt:lpstr>'16) Summary Sheet2'!_CTR_per_1</vt:lpstr>
      <vt:lpstr>_CTR_per_1</vt:lpstr>
      <vt:lpstr>_CTRX</vt:lpstr>
      <vt:lpstr>'16) Summary Sheet2'!_E21XG</vt:lpstr>
      <vt:lpstr>_E21XG</vt:lpstr>
      <vt:lpstr>'16) Summary Sheet2'!_k0A1</vt:lpstr>
      <vt:lpstr>_k0A1</vt:lpstr>
      <vt:lpstr>'16) Summary Sheet2'!_k0M1</vt:lpstr>
      <vt:lpstr>_k0M1</vt:lpstr>
      <vt:lpstr>_KS1A</vt:lpstr>
      <vt:lpstr>'16) Summary Sheet2'!_KS1M</vt:lpstr>
      <vt:lpstr>_KS1M</vt:lpstr>
      <vt:lpstr>_KS2M</vt:lpstr>
      <vt:lpstr>'16) Summary Sheet2'!_NPU1</vt:lpstr>
      <vt:lpstr>_NPU1</vt:lpstr>
      <vt:lpstr>'BF Fault Det (2)'!_NPU2</vt:lpstr>
      <vt:lpstr>_OUT105</vt:lpstr>
      <vt:lpstr>_PCT01PU</vt:lpstr>
      <vt:lpstr>_PCT14PU</vt:lpstr>
      <vt:lpstr>_PCT16PU</vt:lpstr>
      <vt:lpstr>_PMV05</vt:lpstr>
      <vt:lpstr>_PMV06</vt:lpstr>
      <vt:lpstr>_PMV10</vt:lpstr>
      <vt:lpstr>_PMV11</vt:lpstr>
      <vt:lpstr>_PMV13</vt:lpstr>
      <vt:lpstr>_PMV40</vt:lpstr>
      <vt:lpstr>_PRC023</vt:lpstr>
      <vt:lpstr>_PSV02</vt:lpstr>
      <vt:lpstr>_PSV05</vt:lpstr>
      <vt:lpstr>_PSV10</vt:lpstr>
      <vt:lpstr>_PSV58</vt:lpstr>
      <vt:lpstr>_Remote_BF_CTR</vt:lpstr>
      <vt:lpstr>'16) Summary Sheet2'!_Remote_CTR</vt:lpstr>
      <vt:lpstr>_Remote_Line_CTR</vt:lpstr>
      <vt:lpstr>_RG1</vt:lpstr>
      <vt:lpstr>_RG2</vt:lpstr>
      <vt:lpstr>_RG3</vt:lpstr>
      <vt:lpstr>_SET16</vt:lpstr>
      <vt:lpstr>_SIR</vt:lpstr>
      <vt:lpstr>_SV4PU</vt:lpstr>
      <vt:lpstr>'BF Fault Det (2)'!_SV4PU_2</vt:lpstr>
      <vt:lpstr>_SV7PU</vt:lpstr>
      <vt:lpstr>'16) Summary Sheet2'!_SYNC_Ref</vt:lpstr>
      <vt:lpstr>_SYNC_Ref</vt:lpstr>
      <vt:lpstr>'16) Summary Sheet2'!_SYNC_Source</vt:lpstr>
      <vt:lpstr>_SYNC_Source</vt:lpstr>
      <vt:lpstr>'16) Summary Sheet2'!_SYNCP</vt:lpstr>
      <vt:lpstr>_SYNCP</vt:lpstr>
      <vt:lpstr>_SYNCS2</vt:lpstr>
      <vt:lpstr>_VAZR</vt:lpstr>
      <vt:lpstr>_VBZR</vt:lpstr>
      <vt:lpstr>_VCZR</vt:lpstr>
      <vt:lpstr>'16) Summary Sheet2'!_VNOMY</vt:lpstr>
      <vt:lpstr>_VNOMY</vt:lpstr>
      <vt:lpstr>'16) Summary Sheet2'!_VNOMZ</vt:lpstr>
      <vt:lpstr>_VNOMZ</vt:lpstr>
      <vt:lpstr>_X1</vt:lpstr>
      <vt:lpstr>_X2</vt:lpstr>
      <vt:lpstr>_X3</vt:lpstr>
      <vt:lpstr>_X4</vt:lpstr>
      <vt:lpstr>_X5</vt:lpstr>
      <vt:lpstr>_XR</vt:lpstr>
      <vt:lpstr>'16) Summary Sheet2'!_Z0ANG</vt:lpstr>
      <vt:lpstr>_Z0ANG</vt:lpstr>
      <vt:lpstr>'16) Summary Sheet2'!_Z0MAG</vt:lpstr>
      <vt:lpstr>_Z0MAG</vt:lpstr>
      <vt:lpstr>'16) Summary Sheet2'!_Z1ANG</vt:lpstr>
      <vt:lpstr>_Z1ANG</vt:lpstr>
      <vt:lpstr>'16) Summary Sheet2'!_Z1MAG</vt:lpstr>
      <vt:lpstr>_Z1MAG</vt:lpstr>
      <vt:lpstr>'16) Summary Sheet2'!_Z1MG</vt:lpstr>
      <vt:lpstr>_Z1MG</vt:lpstr>
      <vt:lpstr>'16) Summary Sheet2'!_Z1P</vt:lpstr>
      <vt:lpstr>_Z1P</vt:lpstr>
      <vt:lpstr>'16) Summary Sheet2'!_Z2MG</vt:lpstr>
      <vt:lpstr>_Z2MG</vt:lpstr>
      <vt:lpstr>'16) Summary Sheet2'!_Z2P</vt:lpstr>
      <vt:lpstr>_Z2P</vt:lpstr>
      <vt:lpstr>'16) Summary Sheet2'!_Z3MG</vt:lpstr>
      <vt:lpstr>_Z3MG</vt:lpstr>
      <vt:lpstr>'16) Summary Sheet2'!_Z3P</vt:lpstr>
      <vt:lpstr>_Z3P</vt:lpstr>
      <vt:lpstr>'16) Summary Sheet2'!_Z4MG</vt:lpstr>
      <vt:lpstr>_Z4MG</vt:lpstr>
      <vt:lpstr>'16) Summary Sheet2'!_Z4P</vt:lpstr>
      <vt:lpstr>_Z4P</vt:lpstr>
      <vt:lpstr>'16) Summary Sheet2'!_Z5MG</vt:lpstr>
      <vt:lpstr>_Z5MG</vt:lpstr>
      <vt:lpstr>'16) Summary Sheet2'!_Z5P</vt:lpstr>
      <vt:lpstr>_Z5P</vt:lpstr>
      <vt:lpstr>'16) Summary Sheet2'!_ZLF</vt:lpstr>
      <vt:lpstr>_ZLF</vt:lpstr>
      <vt:lpstr>'16) Summary Sheet2'!_ZLR</vt:lpstr>
      <vt:lpstr>_ZLR</vt:lpstr>
      <vt:lpstr>ArcResistance</vt:lpstr>
      <vt:lpstr>Auto1_R</vt:lpstr>
      <vt:lpstr>Auto1_Select1</vt:lpstr>
      <vt:lpstr>Auto1_X</vt:lpstr>
      <vt:lpstr>Auto2_R</vt:lpstr>
      <vt:lpstr>Auto2_Select2</vt:lpstr>
      <vt:lpstr>Auto2_X</vt:lpstr>
      <vt:lpstr>Auto3_R</vt:lpstr>
      <vt:lpstr>Auto3_Select3</vt:lpstr>
      <vt:lpstr>Auto3_X</vt:lpstr>
      <vt:lpstr>Auto4_R</vt:lpstr>
      <vt:lpstr>Auto4_Select4</vt:lpstr>
      <vt:lpstr>Auto4_X</vt:lpstr>
      <vt:lpstr>Base_Ohms</vt:lpstr>
      <vt:lpstr>'SEL-411L Relay Settings'!BIDI1_SEL411L</vt:lpstr>
      <vt:lpstr>'SEL-411L Relay Settings'!BIDI2_SEL411L</vt:lpstr>
      <vt:lpstr>Breaker_Failure_Bus_Arrangement</vt:lpstr>
      <vt:lpstr>Breaker_Failure_Table1</vt:lpstr>
      <vt:lpstr>'1) Data Entry'!Calc_By</vt:lpstr>
      <vt:lpstr>'7) Relay Calc'!Calc_By</vt:lpstr>
      <vt:lpstr>Calc_By</vt:lpstr>
      <vt:lpstr>'1) Data Entry'!Checked_By</vt:lpstr>
      <vt:lpstr>'7) Relay Calc'!Checked_By</vt:lpstr>
      <vt:lpstr>Checked_By</vt:lpstr>
      <vt:lpstr>Conductor_Rating_Value</vt:lpstr>
      <vt:lpstr>'1) Data Entry'!CTR</vt:lpstr>
      <vt:lpstr>'16) Summary Sheet2'!CTR</vt:lpstr>
      <vt:lpstr>'7) Relay Calc'!CTR</vt:lpstr>
      <vt:lpstr>CTR</vt:lpstr>
      <vt:lpstr>'1) Data Entry'!CTR_PTR</vt:lpstr>
      <vt:lpstr>'16) Summary Sheet2'!CTR_PTR</vt:lpstr>
      <vt:lpstr>'7) Relay Calc'!CTR_PTR</vt:lpstr>
      <vt:lpstr>CTR_PTR</vt:lpstr>
      <vt:lpstr>CTR_PTR1</vt:lpstr>
      <vt:lpstr>'1) Data Entry'!Date</vt:lpstr>
      <vt:lpstr>'7) Relay Calc'!Date</vt:lpstr>
      <vt:lpstr>Date</vt:lpstr>
      <vt:lpstr>Dist1_R</vt:lpstr>
      <vt:lpstr>Dist1_Select1</vt:lpstr>
      <vt:lpstr>Dist1_X</vt:lpstr>
      <vt:lpstr>Dist2_R</vt:lpstr>
      <vt:lpstr>Dist2_Select2</vt:lpstr>
      <vt:lpstr>Dist2_X</vt:lpstr>
      <vt:lpstr>Dist3_R</vt:lpstr>
      <vt:lpstr>Dist3_Select3</vt:lpstr>
      <vt:lpstr>Dist3_X</vt:lpstr>
      <vt:lpstr>Dist4_R</vt:lpstr>
      <vt:lpstr>Dist4_Select4</vt:lpstr>
      <vt:lpstr>Dist4_X</vt:lpstr>
      <vt:lpstr>Dist5_R</vt:lpstr>
      <vt:lpstr>Dist5_Select5</vt:lpstr>
      <vt:lpstr>Dist5_X</vt:lpstr>
      <vt:lpstr>Dist6_R</vt:lpstr>
      <vt:lpstr>Dist6_Select6</vt:lpstr>
      <vt:lpstr>Dist6_X</vt:lpstr>
      <vt:lpstr>Dist7_R</vt:lpstr>
      <vt:lpstr>Dist7_Select7</vt:lpstr>
      <vt:lpstr>Dist7_X</vt:lpstr>
      <vt:lpstr>Dist8_R</vt:lpstr>
      <vt:lpstr>Dist8_Select8</vt:lpstr>
      <vt:lpstr>Dist8_X</vt:lpstr>
      <vt:lpstr>'1) Data Entry'!Extract</vt:lpstr>
      <vt:lpstr>Fault_Analysis_Table1</vt:lpstr>
      <vt:lpstr>Fault_Analysis_Table2</vt:lpstr>
      <vt:lpstr>Fault_Analysis_Table3</vt:lpstr>
      <vt:lpstr>Fault_Analysis_Table4</vt:lpstr>
      <vt:lpstr>Fault_Analysis_Table5</vt:lpstr>
      <vt:lpstr>Fault_Analysis_Table6</vt:lpstr>
      <vt:lpstr>Fault_Analysis_Table7</vt:lpstr>
      <vt:lpstr>First_Line_Impedances</vt:lpstr>
      <vt:lpstr>Infeed_Table1</vt:lpstr>
      <vt:lpstr>Infeed_Table1A</vt:lpstr>
      <vt:lpstr>Infeed_Table2</vt:lpstr>
      <vt:lpstr>Infeed_Table2A</vt:lpstr>
      <vt:lpstr>k</vt:lpstr>
      <vt:lpstr>'1) Data Entry'!Line_Limit</vt:lpstr>
      <vt:lpstr>'16) Summary Sheet2'!Line_Limit</vt:lpstr>
      <vt:lpstr>'7) Relay Calc'!Line_Limit</vt:lpstr>
      <vt:lpstr>Line_Limit</vt:lpstr>
      <vt:lpstr>Line_Number</vt:lpstr>
      <vt:lpstr>LoadabilityLimit</vt:lpstr>
      <vt:lpstr>mark</vt:lpstr>
      <vt:lpstr>NERC_Criteria</vt:lpstr>
      <vt:lpstr>Nominal_System_Voltage</vt:lpstr>
      <vt:lpstr>Number_of_Autos</vt:lpstr>
      <vt:lpstr>Number_of_Dist_Transformers</vt:lpstr>
      <vt:lpstr>Number_of_Taps</vt:lpstr>
      <vt:lpstr>Number_Second_Lines</vt:lpstr>
      <vt:lpstr>NUMBK</vt:lpstr>
      <vt:lpstr>PRC_023_3_BIT</vt:lpstr>
      <vt:lpstr>PRC_023_3_criteria_table</vt:lpstr>
      <vt:lpstr>PRC_023_SUMMARY</vt:lpstr>
      <vt:lpstr>PRC_025_ASYNC_THRESHOLD</vt:lpstr>
      <vt:lpstr>PRC_025_Asynchronous_BIT</vt:lpstr>
      <vt:lpstr>PRC_025_Asynchronous_Wind_Farms_Solar_Array</vt:lpstr>
      <vt:lpstr>PRC_025_CAL_TABLE</vt:lpstr>
      <vt:lpstr>PRC_025_criteria_selected</vt:lpstr>
      <vt:lpstr>PRC_025_criteria_table</vt:lpstr>
      <vt:lpstr>PRC_025_MVA</vt:lpstr>
      <vt:lpstr>PRC_025_SUMMARY</vt:lpstr>
      <vt:lpstr>PRC_025_Synchronous</vt:lpstr>
      <vt:lpstr>PRC_025_Synchronous_BIT</vt:lpstr>
      <vt:lpstr>'1) Data Entry'!Print_Area</vt:lpstr>
      <vt:lpstr>'10) SOTF'!Print_Area</vt:lpstr>
      <vt:lpstr>'11) BF Fault Det'!Print_Area</vt:lpstr>
      <vt:lpstr>'12) Close &amp; Sync Check'!Print_Area</vt:lpstr>
      <vt:lpstr>'13) NERC PRC Compliance Sheet'!Print_Area</vt:lpstr>
      <vt:lpstr>'15) Notes &amp; Additional Calcs'!Print_Area</vt:lpstr>
      <vt:lpstr>'16) Export SEL-421-3'!Print_Area</vt:lpstr>
      <vt:lpstr>'16) Summary Sheet'!Print_Area</vt:lpstr>
      <vt:lpstr>'16) Summary Sheet2'!Print_Area</vt:lpstr>
      <vt:lpstr>'18) Export SEL-311C'!Print_Area</vt:lpstr>
      <vt:lpstr>'2) Project System'!Print_Area</vt:lpstr>
      <vt:lpstr>'3) Aspen Impedances'!Print_Area</vt:lpstr>
      <vt:lpstr>'4) Fault Analysis'!Print_Area</vt:lpstr>
      <vt:lpstr>'5) Infeed'!Print_Area</vt:lpstr>
      <vt:lpstr>'6) Zone Imp'!Print_Area</vt:lpstr>
      <vt:lpstr>'7) Relay Calc'!Print_Area</vt:lpstr>
      <vt:lpstr>'8) LOP &amp; Ground TOC'!Print_Area</vt:lpstr>
      <vt:lpstr>'9) Transfer Trip'!Print_Area</vt:lpstr>
      <vt:lpstr>'BF Fault Det (2)'!Print_Area</vt:lpstr>
      <vt:lpstr>'PRC-025 Generator Data Sheet'!Print_Area</vt:lpstr>
      <vt:lpstr>'1) Data Entry'!PTR</vt:lpstr>
      <vt:lpstr>'16) Summary Sheet2'!PTR</vt:lpstr>
      <vt:lpstr>'7) Relay Calc'!PTR</vt:lpstr>
      <vt:lpstr>PTR</vt:lpstr>
      <vt:lpstr>'1) Data Entry'!R_Pos</vt:lpstr>
      <vt:lpstr>'16) Summary Sheet2'!R_Pos</vt:lpstr>
      <vt:lpstr>'7) Relay Calc'!R_Pos</vt:lpstr>
      <vt:lpstr>R_Pos</vt:lpstr>
      <vt:lpstr>'1) Data Entry'!R_Zero</vt:lpstr>
      <vt:lpstr>'16) Summary Sheet2'!R_Zero</vt:lpstr>
      <vt:lpstr>'7) Relay Calc'!R_Zero</vt:lpstr>
      <vt:lpstr>R_Zero</vt:lpstr>
      <vt:lpstr>'1) Data Entry'!Relay_Location</vt:lpstr>
      <vt:lpstr>'16) Summary Sheet2'!Relay_Location</vt:lpstr>
      <vt:lpstr>'7) Relay Calc'!Relay_Location</vt:lpstr>
      <vt:lpstr>Relay_Location</vt:lpstr>
      <vt:lpstr>Remote_Bus1</vt:lpstr>
      <vt:lpstr>Remote_Bus1_Name</vt:lpstr>
      <vt:lpstr>Remote_Bus2</vt:lpstr>
      <vt:lpstr>Remote_Bus2_Name</vt:lpstr>
      <vt:lpstr>Remote_Bus3</vt:lpstr>
      <vt:lpstr>Remote_Bus3_Name</vt:lpstr>
      <vt:lpstr>Remote_Bus4</vt:lpstr>
      <vt:lpstr>Remote_Bus4_Name</vt:lpstr>
      <vt:lpstr>Remote_Bus5</vt:lpstr>
      <vt:lpstr>Remote_Bus5_Name</vt:lpstr>
      <vt:lpstr>Remote_Bus6</vt:lpstr>
      <vt:lpstr>Remote_Bus6_Name</vt:lpstr>
      <vt:lpstr>Remote_Bus7</vt:lpstr>
      <vt:lpstr>Remote_Bus7_Name</vt:lpstr>
      <vt:lpstr>Remote_Bus8</vt:lpstr>
      <vt:lpstr>Remote_Bus8_Name</vt:lpstr>
      <vt:lpstr>Remote_CTR_87L</vt:lpstr>
      <vt:lpstr>'1) Data Entry'!Remote_Location</vt:lpstr>
      <vt:lpstr>'16) Summary Sheet2'!Remote_Location</vt:lpstr>
      <vt:lpstr>'7) Relay Calc'!Remote_Location</vt:lpstr>
      <vt:lpstr>Remote_Location</vt:lpstr>
      <vt:lpstr>Report_Transformers_Table</vt:lpstr>
      <vt:lpstr>SIR</vt:lpstr>
      <vt:lpstr>Start_Here</vt:lpstr>
      <vt:lpstr>Tap_FLine1</vt:lpstr>
      <vt:lpstr>Tap_FLine2</vt:lpstr>
      <vt:lpstr>Tap_FLine3</vt:lpstr>
      <vt:lpstr>Tap_FLine4</vt:lpstr>
      <vt:lpstr>Tap_FLine5</vt:lpstr>
      <vt:lpstr>Tap_FLine6</vt:lpstr>
      <vt:lpstr>Tap_FLine7</vt:lpstr>
      <vt:lpstr>Tap_FLine8</vt:lpstr>
      <vt:lpstr>Tap_Line1</vt:lpstr>
      <vt:lpstr>Tap_Line1_Name</vt:lpstr>
      <vt:lpstr>Tap_Line2</vt:lpstr>
      <vt:lpstr>Tap_Line2_Name</vt:lpstr>
      <vt:lpstr>Tap_Line3</vt:lpstr>
      <vt:lpstr>Tap_Line3_Name</vt:lpstr>
      <vt:lpstr>Tap_Line4</vt:lpstr>
      <vt:lpstr>Tap_Line4_Name</vt:lpstr>
      <vt:lpstr>Tap_Line5</vt:lpstr>
      <vt:lpstr>Tap_Line5_Name</vt:lpstr>
      <vt:lpstr>Tap_Line6</vt:lpstr>
      <vt:lpstr>Tap_Line6_Name</vt:lpstr>
      <vt:lpstr>Tap_Line7</vt:lpstr>
      <vt:lpstr>Tap_Line7_Name</vt:lpstr>
      <vt:lpstr>Tap_Line8</vt:lpstr>
      <vt:lpstr>Tap_Line8_Name</vt:lpstr>
      <vt:lpstr>'1) Data Entry'!Test</vt:lpstr>
      <vt:lpstr>Test</vt:lpstr>
      <vt:lpstr>Transformer1_Select</vt:lpstr>
      <vt:lpstr>Transformer2_Select</vt:lpstr>
      <vt:lpstr>Transformer3_Select</vt:lpstr>
      <vt:lpstr>Transformer4_Select</vt:lpstr>
      <vt:lpstr>'7) Relay Calc'!Voltage</vt:lpstr>
      <vt:lpstr>'1) Data Entry'!X_Pos</vt:lpstr>
      <vt:lpstr>'16) Summary Sheet2'!X_Pos</vt:lpstr>
      <vt:lpstr>'7) Relay Calc'!X_Pos</vt:lpstr>
      <vt:lpstr>X_Pos</vt:lpstr>
      <vt:lpstr>'1) Data Entry'!X_Zero</vt:lpstr>
      <vt:lpstr>'16) Summary Sheet2'!X_Zero</vt:lpstr>
      <vt:lpstr>'7) Relay Calc'!X_Zero</vt:lpstr>
      <vt:lpstr>X_Zero</vt:lpstr>
      <vt:lpstr>XR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 Sheet</dc:title>
  <dc:subject/>
  <dc:creator>Beeravolu, Nagendrakumar</dc:creator>
  <cp:keywords/>
  <dc:description/>
  <cp:lastModifiedBy>phani sadhanala</cp:lastModifiedBy>
  <cp:revision/>
  <dcterms:created xsi:type="dcterms:W3CDTF">1996-10-14T23:33:28Z</dcterms:created>
  <dcterms:modified xsi:type="dcterms:W3CDTF">2026-02-04T14:33:15Z</dcterms:modified>
  <cp:category/>
  <cp:contentStatus>In progress</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0x010100D5F5C23F29E1FC43A4F5945BE461E83C</vt:lpwstr>
  </property>
  <property fmtid="{D5CDD505-2E9C-101B-9397-08002B2CF9AE}" pid="3" name="MSIP_Label_4391f082-e357-48ae-be1c-7e151bab59c6_Enabled">
    <vt:lpwstr>true</vt:lpwstr>
  </property>
  <property fmtid="{D5CDD505-2E9C-101B-9397-08002B2CF9AE}" pid="4" name="MSIP_Label_4391f082-e357-48ae-be1c-7e151bab59c6_SetDate">
    <vt:lpwstr>2020-12-28T14:43:36Z</vt:lpwstr>
  </property>
  <property fmtid="{D5CDD505-2E9C-101B-9397-08002B2CF9AE}" pid="5" name="MSIP_Label_4391f082-e357-48ae-be1c-7e151bab59c6_Method">
    <vt:lpwstr>Standard</vt:lpwstr>
  </property>
  <property fmtid="{D5CDD505-2E9C-101B-9397-08002B2CF9AE}" pid="6" name="MSIP_Label_4391f082-e357-48ae-be1c-7e151bab59c6_Name">
    <vt:lpwstr>4391f082-e357-48ae-be1c-7e151bab59c6</vt:lpwstr>
  </property>
  <property fmtid="{D5CDD505-2E9C-101B-9397-08002B2CF9AE}" pid="7" name="MSIP_Label_4391f082-e357-48ae-be1c-7e151bab59c6_SiteId">
    <vt:lpwstr>e0c13469-6a2d-4ac3-835b-8ec9ed03c9a7</vt:lpwstr>
  </property>
  <property fmtid="{D5CDD505-2E9C-101B-9397-08002B2CF9AE}" pid="8" name="MSIP_Label_4391f082-e357-48ae-be1c-7e151bab59c6_ActionId">
    <vt:lpwstr>2afba860-a6e6-42f5-9db0-8ba09643bda6</vt:lpwstr>
  </property>
  <property fmtid="{D5CDD505-2E9C-101B-9397-08002B2CF9AE}" pid="9" name="MSIP_Label_4391f082-e357-48ae-be1c-7e151bab59c6_ContentBits">
    <vt:lpwstr>0</vt:lpwstr>
  </property>
</Properties>
</file>