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ucki\Downloads\"/>
    </mc:Choice>
  </mc:AlternateContent>
  <xr:revisionPtr revIDLastSave="0" documentId="8_{A49654D0-66C0-49D7-9B2E-5A07DDD6512C}" xr6:coauthVersionLast="47" xr6:coauthVersionMax="47" xr10:uidLastSave="{00000000-0000-0000-0000-000000000000}"/>
  <bookViews>
    <workbookView xWindow="-120" yWindow="-120" windowWidth="29040" windowHeight="15840" tabRatio="634" activeTab="1" xr2:uid="{00000000-000D-0000-FFFF-FFFF00000000}"/>
  </bookViews>
  <sheets>
    <sheet name="Cover" sheetId="14" r:id="rId1"/>
    <sheet name="Introduction" sheetId="5" r:id="rId2"/>
    <sheet name="DV-IDENTITY-0" sheetId="7" state="veryHidden" r:id="rId3"/>
  </sheets>
  <externalReferences>
    <externalReference r:id="rId4"/>
    <externalReference r:id="rId5"/>
    <externalReference r:id="rId6"/>
    <externalReference r:id="rId7"/>
  </externalReferences>
  <definedNames>
    <definedName name="__PA3" hidden="1">{"'Sheet1'!$L$16"}</definedName>
    <definedName name="_a1" hidden="1">{"'Sheet1'!$L$16"}</definedName>
    <definedName name="_Fill" hidden="1">#REF!</definedName>
    <definedName name="_xlnm._FilterDatabase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3" hidden="1">{"'Sheet1'!$L$16"}</definedName>
    <definedName name="_Sort" hidden="1">#REF!</definedName>
    <definedName name="_SU15" hidden="1">{"'Sheet1'!$L$16"}</definedName>
    <definedName name="AS2DocOpenMode" hidden="1">"AS2DocumentEdit"</definedName>
    <definedName name="BuildTool">#REF!</definedName>
    <definedName name="CHUYÊN_MÔN_VÀ_KĨ_NĂNG_ĐƯỢC_ĐÀO_TẠO">#REF!</definedName>
    <definedName name="CourseParam">#REF!</definedName>
    <definedName name="CTCT1" hidden="1">{"'Sheet1'!$L$16"}</definedName>
    <definedName name="Framework">#REF!</definedName>
    <definedName name="GioGiacHT">#REF!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JAVABASICS">#REF!</definedName>
    <definedName name="JavaWeb">#REF!</definedName>
    <definedName name="Muc_DG">'[1]Trainee Evaluation Guides'!$B$10:$B$14</definedName>
    <definedName name="MucDG">#REF!</definedName>
    <definedName name="NhomTC">#REF!</definedName>
    <definedName name="_xlnm.Print_Area" localSheetId="1">Introduction!$A$1:$K$40</definedName>
    <definedName name="_xlnm.Print_Area">#REF!</definedName>
    <definedName name="sfs">'[2]CP-Guides'!$B$10:$B$14</definedName>
    <definedName name="SQL">#REF!</definedName>
    <definedName name="ThoiLuongHT">#REF!</definedName>
    <definedName name="TraineeParam">[3]Diary!$A$28:$A$33</definedName>
    <definedName name="type1">'[4]Schedule + Budget'!$S$3:$S$6</definedName>
    <definedName name="v">#REF!</definedName>
    <definedName name="wrn.chi._.tiÆt." hidden="1">{#N/A,#N/A,FALSE,"Chi tiÆt"}</definedName>
  </definedNames>
  <calcPr calcId="181029"/>
</workbook>
</file>

<file path=xl/calcChain.xml><?xml version="1.0" encoding="utf-8"?>
<calcChain xmlns="http://schemas.openxmlformats.org/spreadsheetml/2006/main">
  <c r="D30" i="5" l="1"/>
  <c r="E9" i="5"/>
  <c r="E8" i="5"/>
  <c r="E30" i="5" l="1"/>
  <c r="F11" i="5" l="1"/>
  <c r="F9" i="5"/>
  <c r="F8" i="5"/>
  <c r="A11" i="7" l="1"/>
  <c r="B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EG10" i="7"/>
  <c r="EH10" i="7"/>
  <c r="EI10" i="7"/>
  <c r="EJ10" i="7"/>
  <c r="EK10" i="7"/>
  <c r="EL10" i="7"/>
  <c r="EM10" i="7"/>
  <c r="EN10" i="7"/>
  <c r="EO10" i="7"/>
  <c r="EP10" i="7"/>
  <c r="EQ10" i="7"/>
  <c r="ER10" i="7"/>
  <c r="ES10" i="7"/>
  <c r="ET10" i="7"/>
  <c r="EU10" i="7"/>
  <c r="EV10" i="7"/>
  <c r="EW10" i="7"/>
  <c r="EX10" i="7"/>
  <c r="EY10" i="7"/>
  <c r="EZ10" i="7"/>
  <c r="FA10" i="7"/>
  <c r="FB10" i="7"/>
  <c r="FC10" i="7"/>
  <c r="FD10" i="7"/>
  <c r="FE10" i="7"/>
  <c r="FF10" i="7"/>
  <c r="FG10" i="7"/>
  <c r="FH10" i="7"/>
  <c r="FI10" i="7"/>
  <c r="FJ10" i="7"/>
  <c r="FK10" i="7"/>
  <c r="FL10" i="7"/>
  <c r="FM10" i="7"/>
  <c r="FN10" i="7"/>
  <c r="FO10" i="7"/>
  <c r="FP10" i="7"/>
  <c r="FQ10" i="7"/>
  <c r="FR10" i="7"/>
  <c r="FS10" i="7"/>
  <c r="FT10" i="7"/>
  <c r="FU10" i="7"/>
  <c r="FV10" i="7"/>
  <c r="FW10" i="7"/>
  <c r="FX10" i="7"/>
  <c r="FY10" i="7"/>
  <c r="FZ10" i="7"/>
  <c r="GA10" i="7"/>
  <c r="GB10" i="7"/>
  <c r="GC10" i="7"/>
  <c r="GD10" i="7"/>
  <c r="GE10" i="7"/>
  <c r="GF10" i="7"/>
  <c r="GG10" i="7"/>
  <c r="GH10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HH10" i="7"/>
  <c r="HI10" i="7"/>
  <c r="HJ10" i="7"/>
  <c r="HK10" i="7"/>
  <c r="HL10" i="7"/>
  <c r="HM10" i="7"/>
  <c r="HN10" i="7"/>
  <c r="HO10" i="7"/>
  <c r="HP10" i="7"/>
  <c r="HQ10" i="7"/>
  <c r="HR10" i="7"/>
  <c r="HS10" i="7"/>
  <c r="HT10" i="7"/>
  <c r="HU10" i="7"/>
  <c r="HV10" i="7"/>
  <c r="HW10" i="7"/>
  <c r="HX10" i="7"/>
  <c r="HY10" i="7"/>
  <c r="HZ10" i="7"/>
  <c r="IA10" i="7"/>
  <c r="IB10" i="7"/>
  <c r="IC10" i="7"/>
  <c r="ID10" i="7"/>
  <c r="IE10" i="7"/>
  <c r="IF10" i="7"/>
  <c r="IG10" i="7"/>
  <c r="IH10" i="7"/>
  <c r="II10" i="7"/>
  <c r="IJ10" i="7"/>
  <c r="IK10" i="7"/>
  <c r="IL10" i="7"/>
  <c r="IM10" i="7"/>
  <c r="IN10" i="7"/>
  <c r="IO10" i="7"/>
  <c r="IP10" i="7"/>
  <c r="IQ10" i="7"/>
  <c r="IR10" i="7"/>
  <c r="IS10" i="7"/>
  <c r="IT10" i="7"/>
  <c r="IU10" i="7"/>
  <c r="IV10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Y9" i="7"/>
  <c r="DZ9" i="7"/>
  <c r="EA9" i="7"/>
  <c r="EB9" i="7"/>
  <c r="EC9" i="7"/>
  <c r="ED9" i="7"/>
  <c r="EE9" i="7"/>
  <c r="EF9" i="7"/>
  <c r="EG9" i="7"/>
  <c r="EH9" i="7"/>
  <c r="EI9" i="7"/>
  <c r="EJ9" i="7"/>
  <c r="EK9" i="7"/>
  <c r="EL9" i="7"/>
  <c r="EM9" i="7"/>
  <c r="EN9" i="7"/>
  <c r="EO9" i="7"/>
  <c r="EP9" i="7"/>
  <c r="EQ9" i="7"/>
  <c r="ER9" i="7"/>
  <c r="ES9" i="7"/>
  <c r="ET9" i="7"/>
  <c r="EU9" i="7"/>
  <c r="EV9" i="7"/>
  <c r="EW9" i="7"/>
  <c r="EX9" i="7"/>
  <c r="EY9" i="7"/>
  <c r="EZ9" i="7"/>
  <c r="FA9" i="7"/>
  <c r="FB9" i="7"/>
  <c r="FC9" i="7"/>
  <c r="FD9" i="7"/>
  <c r="FE9" i="7"/>
  <c r="FF9" i="7"/>
  <c r="FG9" i="7"/>
  <c r="FH9" i="7"/>
  <c r="FI9" i="7"/>
  <c r="FJ9" i="7"/>
  <c r="FK9" i="7"/>
  <c r="FL9" i="7"/>
  <c r="FM9" i="7"/>
  <c r="FN9" i="7"/>
  <c r="FO9" i="7"/>
  <c r="FP9" i="7"/>
  <c r="FQ9" i="7"/>
  <c r="FR9" i="7"/>
  <c r="FS9" i="7"/>
  <c r="FT9" i="7"/>
  <c r="FU9" i="7"/>
  <c r="FV9" i="7"/>
  <c r="FW9" i="7"/>
  <c r="FX9" i="7"/>
  <c r="FY9" i="7"/>
  <c r="FZ9" i="7"/>
  <c r="GA9" i="7"/>
  <c r="GB9" i="7"/>
  <c r="GC9" i="7"/>
  <c r="GD9" i="7"/>
  <c r="GE9" i="7"/>
  <c r="GF9" i="7"/>
  <c r="GG9" i="7"/>
  <c r="GH9" i="7"/>
  <c r="GI9" i="7"/>
  <c r="GJ9" i="7"/>
  <c r="GK9" i="7"/>
  <c r="GL9" i="7"/>
  <c r="GM9" i="7"/>
  <c r="GN9" i="7"/>
  <c r="GO9" i="7"/>
  <c r="GP9" i="7"/>
  <c r="GQ9" i="7"/>
  <c r="GR9" i="7"/>
  <c r="GS9" i="7"/>
  <c r="GT9" i="7"/>
  <c r="HA9" i="7"/>
  <c r="HB9" i="7"/>
  <c r="HC9" i="7"/>
  <c r="HD9" i="7"/>
  <c r="HE9" i="7"/>
  <c r="HF9" i="7"/>
  <c r="HG9" i="7"/>
  <c r="HH9" i="7"/>
  <c r="HI9" i="7"/>
  <c r="HJ9" i="7"/>
  <c r="HK9" i="7"/>
  <c r="HL9" i="7"/>
  <c r="HM9" i="7"/>
  <c r="HN9" i="7"/>
  <c r="HO9" i="7"/>
  <c r="HP9" i="7"/>
  <c r="HQ9" i="7"/>
  <c r="HR9" i="7"/>
  <c r="HS9" i="7"/>
  <c r="HT9" i="7"/>
  <c r="HU9" i="7"/>
  <c r="HV9" i="7"/>
  <c r="HW9" i="7"/>
  <c r="HX9" i="7"/>
  <c r="HY9" i="7"/>
  <c r="HZ9" i="7"/>
  <c r="IA9" i="7"/>
  <c r="IB9" i="7"/>
  <c r="IC9" i="7"/>
  <c r="ID9" i="7"/>
  <c r="IE9" i="7"/>
  <c r="IF9" i="7"/>
  <c r="IG9" i="7"/>
  <c r="IH9" i="7"/>
  <c r="II9" i="7"/>
  <c r="IJ9" i="7"/>
  <c r="IK9" i="7"/>
  <c r="IL9" i="7"/>
  <c r="IM9" i="7"/>
  <c r="IN9" i="7"/>
  <c r="IO9" i="7"/>
  <c r="IP9" i="7"/>
  <c r="IQ9" i="7"/>
  <c r="IR9" i="7"/>
  <c r="IS9" i="7"/>
  <c r="IT9" i="7"/>
  <c r="IU9" i="7"/>
  <c r="IV9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EA8" i="7"/>
  <c r="EB8" i="7"/>
  <c r="EC8" i="7"/>
  <c r="ED8" i="7"/>
  <c r="EE8" i="7"/>
  <c r="EF8" i="7"/>
  <c r="EG8" i="7"/>
  <c r="EH8" i="7"/>
  <c r="EI8" i="7"/>
  <c r="EJ8" i="7"/>
  <c r="EK8" i="7"/>
  <c r="EL8" i="7"/>
  <c r="EM8" i="7"/>
  <c r="EN8" i="7"/>
  <c r="EO8" i="7"/>
  <c r="EP8" i="7"/>
  <c r="EQ8" i="7"/>
  <c r="ER8" i="7"/>
  <c r="ES8" i="7"/>
  <c r="ET8" i="7"/>
  <c r="EU8" i="7"/>
  <c r="EV8" i="7"/>
  <c r="EW8" i="7"/>
  <c r="EX8" i="7"/>
  <c r="EY8" i="7"/>
  <c r="EZ8" i="7"/>
  <c r="FA8" i="7"/>
  <c r="FB8" i="7"/>
  <c r="FC8" i="7"/>
  <c r="FD8" i="7"/>
  <c r="FE8" i="7"/>
  <c r="FF8" i="7"/>
  <c r="FG8" i="7"/>
  <c r="FH8" i="7"/>
  <c r="FI8" i="7"/>
  <c r="FJ8" i="7"/>
  <c r="FK8" i="7"/>
  <c r="FL8" i="7"/>
  <c r="FM8" i="7"/>
  <c r="FN8" i="7"/>
  <c r="FO8" i="7"/>
  <c r="FP8" i="7"/>
  <c r="FQ8" i="7"/>
  <c r="FR8" i="7"/>
  <c r="FS8" i="7"/>
  <c r="FT8" i="7"/>
  <c r="FU8" i="7"/>
  <c r="FV8" i="7"/>
  <c r="FW8" i="7"/>
  <c r="FX8" i="7"/>
  <c r="FY8" i="7"/>
  <c r="FZ8" i="7"/>
  <c r="GA8" i="7"/>
  <c r="GB8" i="7"/>
  <c r="GC8" i="7"/>
  <c r="GD8" i="7"/>
  <c r="GE8" i="7"/>
  <c r="GF8" i="7"/>
  <c r="GG8" i="7"/>
  <c r="GH8" i="7"/>
  <c r="GI8" i="7"/>
  <c r="GJ8" i="7"/>
  <c r="GK8" i="7"/>
  <c r="GL8" i="7"/>
  <c r="GM8" i="7"/>
  <c r="GN8" i="7"/>
  <c r="GO8" i="7"/>
  <c r="GP8" i="7"/>
  <c r="GQ8" i="7"/>
  <c r="GR8" i="7"/>
  <c r="GS8" i="7"/>
  <c r="GT8" i="7"/>
  <c r="GU8" i="7"/>
  <c r="GV8" i="7"/>
  <c r="GW8" i="7"/>
  <c r="GX8" i="7"/>
  <c r="GY8" i="7"/>
  <c r="GZ8" i="7"/>
  <c r="HA8" i="7"/>
  <c r="HB8" i="7"/>
  <c r="HC8" i="7"/>
  <c r="HD8" i="7"/>
  <c r="HE8" i="7"/>
  <c r="HF8" i="7"/>
  <c r="HG8" i="7"/>
  <c r="HH8" i="7"/>
  <c r="HI8" i="7"/>
  <c r="HJ8" i="7"/>
  <c r="HK8" i="7"/>
  <c r="HL8" i="7"/>
  <c r="HM8" i="7"/>
  <c r="HN8" i="7"/>
  <c r="HO8" i="7"/>
  <c r="HP8" i="7"/>
  <c r="HQ8" i="7"/>
  <c r="HR8" i="7"/>
  <c r="HS8" i="7"/>
  <c r="HT8" i="7"/>
  <c r="HU8" i="7"/>
  <c r="HV8" i="7"/>
  <c r="HW8" i="7"/>
  <c r="HX8" i="7"/>
  <c r="HY8" i="7"/>
  <c r="HZ8" i="7"/>
  <c r="IA8" i="7"/>
  <c r="IB8" i="7"/>
  <c r="IC8" i="7"/>
  <c r="ID8" i="7"/>
  <c r="IE8" i="7"/>
  <c r="IF8" i="7"/>
  <c r="IG8" i="7"/>
  <c r="IH8" i="7"/>
  <c r="II8" i="7"/>
  <c r="IJ8" i="7"/>
  <c r="IK8" i="7"/>
  <c r="IL8" i="7"/>
  <c r="IM8" i="7"/>
  <c r="IN8" i="7"/>
  <c r="IO8" i="7"/>
  <c r="IP8" i="7"/>
  <c r="IQ8" i="7"/>
  <c r="IR8" i="7"/>
  <c r="IS8" i="7"/>
  <c r="IT8" i="7"/>
  <c r="IU8" i="7"/>
  <c r="IV8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EB7" i="7"/>
  <c r="EC7" i="7"/>
  <c r="ED7" i="7"/>
  <c r="EE7" i="7"/>
  <c r="EF7" i="7"/>
  <c r="EG7" i="7"/>
  <c r="EH7" i="7"/>
  <c r="EI7" i="7"/>
  <c r="EJ7" i="7"/>
  <c r="EK7" i="7"/>
  <c r="EL7" i="7"/>
  <c r="EM7" i="7"/>
  <c r="EN7" i="7"/>
  <c r="EO7" i="7"/>
  <c r="EP7" i="7"/>
  <c r="EQ7" i="7"/>
  <c r="ER7" i="7"/>
  <c r="ES7" i="7"/>
  <c r="ET7" i="7"/>
  <c r="EU7" i="7"/>
  <c r="EV7" i="7"/>
  <c r="EW7" i="7"/>
  <c r="EX7" i="7"/>
  <c r="EY7" i="7"/>
  <c r="EZ7" i="7"/>
  <c r="FA7" i="7"/>
  <c r="FB7" i="7"/>
  <c r="FC7" i="7"/>
  <c r="FD7" i="7"/>
  <c r="FE7" i="7"/>
  <c r="FF7" i="7"/>
  <c r="FG7" i="7"/>
  <c r="FH7" i="7"/>
  <c r="FI7" i="7"/>
  <c r="FJ7" i="7"/>
  <c r="FK7" i="7"/>
  <c r="FL7" i="7"/>
  <c r="FM7" i="7"/>
  <c r="FN7" i="7"/>
  <c r="FO7" i="7"/>
  <c r="FP7" i="7"/>
  <c r="FQ7" i="7"/>
  <c r="FR7" i="7"/>
  <c r="FS7" i="7"/>
  <c r="FT7" i="7"/>
  <c r="FU7" i="7"/>
  <c r="FV7" i="7"/>
  <c r="FW7" i="7"/>
  <c r="FX7" i="7"/>
  <c r="FY7" i="7"/>
  <c r="FZ7" i="7"/>
  <c r="GA7" i="7"/>
  <c r="GB7" i="7"/>
  <c r="GC7" i="7"/>
  <c r="GD7" i="7"/>
  <c r="GE7" i="7"/>
  <c r="GF7" i="7"/>
  <c r="GG7" i="7"/>
  <c r="GH7" i="7"/>
  <c r="GI7" i="7"/>
  <c r="GJ7" i="7"/>
  <c r="GK7" i="7"/>
  <c r="GL7" i="7"/>
  <c r="GM7" i="7"/>
  <c r="GN7" i="7"/>
  <c r="GO7" i="7"/>
  <c r="GP7" i="7"/>
  <c r="GQ7" i="7"/>
  <c r="GR7" i="7"/>
  <c r="GS7" i="7"/>
  <c r="GT7" i="7"/>
  <c r="GU7" i="7"/>
  <c r="GV7" i="7"/>
  <c r="GW7" i="7"/>
  <c r="GX7" i="7"/>
  <c r="GY7" i="7"/>
  <c r="GZ7" i="7"/>
  <c r="HA7" i="7"/>
  <c r="HB7" i="7"/>
  <c r="HC7" i="7"/>
  <c r="HD7" i="7"/>
  <c r="HE7" i="7"/>
  <c r="HF7" i="7"/>
  <c r="HG7" i="7"/>
  <c r="HH7" i="7"/>
  <c r="HI7" i="7"/>
  <c r="HJ7" i="7"/>
  <c r="HK7" i="7"/>
  <c r="HL7" i="7"/>
  <c r="HM7" i="7"/>
  <c r="HN7" i="7"/>
  <c r="HO7" i="7"/>
  <c r="HP7" i="7"/>
  <c r="HQ7" i="7"/>
  <c r="HR7" i="7"/>
  <c r="HS7" i="7"/>
  <c r="HT7" i="7"/>
  <c r="HU7" i="7"/>
  <c r="HV7" i="7"/>
  <c r="HW7" i="7"/>
  <c r="HX7" i="7"/>
  <c r="HY7" i="7"/>
  <c r="HZ7" i="7"/>
  <c r="IA7" i="7"/>
  <c r="IB7" i="7"/>
  <c r="IC7" i="7"/>
  <c r="ID7" i="7"/>
  <c r="IE7" i="7"/>
  <c r="IF7" i="7"/>
  <c r="IG7" i="7"/>
  <c r="IH7" i="7"/>
  <c r="II7" i="7"/>
  <c r="IJ7" i="7"/>
  <c r="IK7" i="7"/>
  <c r="IL7" i="7"/>
  <c r="IM7" i="7"/>
  <c r="IN7" i="7"/>
  <c r="IO7" i="7"/>
  <c r="IP7" i="7"/>
  <c r="IQ7" i="7"/>
  <c r="IR7" i="7"/>
  <c r="IS7" i="7"/>
  <c r="IT7" i="7"/>
  <c r="IU7" i="7"/>
  <c r="IV7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EA6" i="7"/>
  <c r="EB6" i="7"/>
  <c r="EC6" i="7"/>
  <c r="ED6" i="7"/>
  <c r="EE6" i="7"/>
  <c r="EF6" i="7"/>
  <c r="EG6" i="7"/>
  <c r="EH6" i="7"/>
  <c r="EI6" i="7"/>
  <c r="EJ6" i="7"/>
  <c r="EK6" i="7"/>
  <c r="EL6" i="7"/>
  <c r="EM6" i="7"/>
  <c r="EN6" i="7"/>
  <c r="EO6" i="7"/>
  <c r="EP6" i="7"/>
  <c r="EQ6" i="7"/>
  <c r="ER6" i="7"/>
  <c r="ES6" i="7"/>
  <c r="ET6" i="7"/>
  <c r="EU6" i="7"/>
  <c r="EV6" i="7"/>
  <c r="EW6" i="7"/>
  <c r="EX6" i="7"/>
  <c r="EY6" i="7"/>
  <c r="EZ6" i="7"/>
  <c r="FA6" i="7"/>
  <c r="FB6" i="7"/>
  <c r="FC6" i="7"/>
  <c r="FD6" i="7"/>
  <c r="FE6" i="7"/>
  <c r="FF6" i="7"/>
  <c r="FG6" i="7"/>
  <c r="FH6" i="7"/>
  <c r="FI6" i="7"/>
  <c r="FJ6" i="7"/>
  <c r="FK6" i="7"/>
  <c r="FL6" i="7"/>
  <c r="FM6" i="7"/>
  <c r="FN6" i="7"/>
  <c r="FO6" i="7"/>
  <c r="FP6" i="7"/>
  <c r="FQ6" i="7"/>
  <c r="FR6" i="7"/>
  <c r="FS6" i="7"/>
  <c r="FT6" i="7"/>
  <c r="FU6" i="7"/>
  <c r="FV6" i="7"/>
  <c r="FW6" i="7"/>
  <c r="FX6" i="7"/>
  <c r="FY6" i="7"/>
  <c r="FZ6" i="7"/>
  <c r="GA6" i="7"/>
  <c r="GB6" i="7"/>
  <c r="GC6" i="7"/>
  <c r="GD6" i="7"/>
  <c r="GE6" i="7"/>
  <c r="GF6" i="7"/>
  <c r="GG6" i="7"/>
  <c r="GH6" i="7"/>
  <c r="GI6" i="7"/>
  <c r="GJ6" i="7"/>
  <c r="GK6" i="7"/>
  <c r="GL6" i="7"/>
  <c r="GM6" i="7"/>
  <c r="GN6" i="7"/>
  <c r="GO6" i="7"/>
  <c r="GP6" i="7"/>
  <c r="GQ6" i="7"/>
  <c r="GR6" i="7"/>
  <c r="GS6" i="7"/>
  <c r="GT6" i="7"/>
  <c r="GU6" i="7"/>
  <c r="GV6" i="7"/>
  <c r="GW6" i="7"/>
  <c r="GX6" i="7"/>
  <c r="GY6" i="7"/>
  <c r="GZ6" i="7"/>
  <c r="HA6" i="7"/>
  <c r="HB6" i="7"/>
  <c r="HC6" i="7"/>
  <c r="HD6" i="7"/>
  <c r="HE6" i="7"/>
  <c r="HF6" i="7"/>
  <c r="HG6" i="7"/>
  <c r="HH6" i="7"/>
  <c r="HI6" i="7"/>
  <c r="HJ6" i="7"/>
  <c r="HK6" i="7"/>
  <c r="HL6" i="7"/>
  <c r="HM6" i="7"/>
  <c r="HN6" i="7"/>
  <c r="HO6" i="7"/>
  <c r="HP6" i="7"/>
  <c r="HQ6" i="7"/>
  <c r="HR6" i="7"/>
  <c r="HS6" i="7"/>
  <c r="HT6" i="7"/>
  <c r="HU6" i="7"/>
  <c r="HV6" i="7"/>
  <c r="HW6" i="7"/>
  <c r="HX6" i="7"/>
  <c r="HY6" i="7"/>
  <c r="HZ6" i="7"/>
  <c r="IA6" i="7"/>
  <c r="IB6" i="7"/>
  <c r="IC6" i="7"/>
  <c r="ID6" i="7"/>
  <c r="IE6" i="7"/>
  <c r="IF6" i="7"/>
  <c r="IG6" i="7"/>
  <c r="IH6" i="7"/>
  <c r="II6" i="7"/>
  <c r="IJ6" i="7"/>
  <c r="IK6" i="7"/>
  <c r="IL6" i="7"/>
  <c r="IM6" i="7"/>
  <c r="IN6" i="7"/>
  <c r="IO6" i="7"/>
  <c r="IP6" i="7"/>
  <c r="IQ6" i="7"/>
  <c r="IR6" i="7"/>
  <c r="IS6" i="7"/>
  <c r="IT6" i="7"/>
  <c r="IU6" i="7"/>
  <c r="IV6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EA5" i="7"/>
  <c r="EB5" i="7"/>
  <c r="EC5" i="7"/>
  <c r="ED5" i="7"/>
  <c r="EE5" i="7"/>
  <c r="EF5" i="7"/>
  <c r="EG5" i="7"/>
  <c r="EH5" i="7"/>
  <c r="EI5" i="7"/>
  <c r="EJ5" i="7"/>
  <c r="EK5" i="7"/>
  <c r="EL5" i="7"/>
  <c r="EM5" i="7"/>
  <c r="EN5" i="7"/>
  <c r="EO5" i="7"/>
  <c r="EP5" i="7"/>
  <c r="EQ5" i="7"/>
  <c r="ER5" i="7"/>
  <c r="ES5" i="7"/>
  <c r="ET5" i="7"/>
  <c r="EU5" i="7"/>
  <c r="EV5" i="7"/>
  <c r="EW5" i="7"/>
  <c r="EX5" i="7"/>
  <c r="EY5" i="7"/>
  <c r="EZ5" i="7"/>
  <c r="FA5" i="7"/>
  <c r="FB5" i="7"/>
  <c r="FC5" i="7"/>
  <c r="FD5" i="7"/>
  <c r="FE5" i="7"/>
  <c r="FF5" i="7"/>
  <c r="FG5" i="7"/>
  <c r="FH5" i="7"/>
  <c r="FI5" i="7"/>
  <c r="FJ5" i="7"/>
  <c r="FK5" i="7"/>
  <c r="FL5" i="7"/>
  <c r="FM5" i="7"/>
  <c r="FN5" i="7"/>
  <c r="FO5" i="7"/>
  <c r="FP5" i="7"/>
  <c r="FQ5" i="7"/>
  <c r="FR5" i="7"/>
  <c r="FS5" i="7"/>
  <c r="FT5" i="7"/>
  <c r="FU5" i="7"/>
  <c r="FV5" i="7"/>
  <c r="FW5" i="7"/>
  <c r="FX5" i="7"/>
  <c r="FY5" i="7"/>
  <c r="FZ5" i="7"/>
  <c r="GA5" i="7"/>
  <c r="GB5" i="7"/>
  <c r="GC5" i="7"/>
  <c r="GD5" i="7"/>
  <c r="GE5" i="7"/>
  <c r="GF5" i="7"/>
  <c r="GG5" i="7"/>
  <c r="GH5" i="7"/>
  <c r="GI5" i="7"/>
  <c r="GJ5" i="7"/>
  <c r="GK5" i="7"/>
  <c r="GL5" i="7"/>
  <c r="GM5" i="7"/>
  <c r="GN5" i="7"/>
  <c r="GO5" i="7"/>
  <c r="GP5" i="7"/>
  <c r="GQ5" i="7"/>
  <c r="GR5" i="7"/>
  <c r="GS5" i="7"/>
  <c r="GT5" i="7"/>
  <c r="GU5" i="7"/>
  <c r="GV5" i="7"/>
  <c r="GW5" i="7"/>
  <c r="GX5" i="7"/>
  <c r="GY5" i="7"/>
  <c r="GZ5" i="7"/>
  <c r="HA5" i="7"/>
  <c r="HB5" i="7"/>
  <c r="HC5" i="7"/>
  <c r="HD5" i="7"/>
  <c r="HE5" i="7"/>
  <c r="HF5" i="7"/>
  <c r="HG5" i="7"/>
  <c r="HH5" i="7"/>
  <c r="HI5" i="7"/>
  <c r="HJ5" i="7"/>
  <c r="HK5" i="7"/>
  <c r="HL5" i="7"/>
  <c r="HM5" i="7"/>
  <c r="HN5" i="7"/>
  <c r="HO5" i="7"/>
  <c r="HP5" i="7"/>
  <c r="HQ5" i="7"/>
  <c r="HR5" i="7"/>
  <c r="HS5" i="7"/>
  <c r="HT5" i="7"/>
  <c r="HU5" i="7"/>
  <c r="HV5" i="7"/>
  <c r="HW5" i="7"/>
  <c r="HX5" i="7"/>
  <c r="HY5" i="7"/>
  <c r="HZ5" i="7"/>
  <c r="IA5" i="7"/>
  <c r="IB5" i="7"/>
  <c r="IC5" i="7"/>
  <c r="ID5" i="7"/>
  <c r="IE5" i="7"/>
  <c r="IF5" i="7"/>
  <c r="IG5" i="7"/>
  <c r="IH5" i="7"/>
  <c r="II5" i="7"/>
  <c r="IJ5" i="7"/>
  <c r="IK5" i="7"/>
  <c r="IL5" i="7"/>
  <c r="IM5" i="7"/>
  <c r="IN5" i="7"/>
  <c r="IO5" i="7"/>
  <c r="IP5" i="7"/>
  <c r="IQ5" i="7"/>
  <c r="IR5" i="7"/>
  <c r="IS5" i="7"/>
  <c r="IT5" i="7"/>
  <c r="IU5" i="7"/>
  <c r="IV5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J4" i="7"/>
  <c r="EK4" i="7"/>
  <c r="EL4" i="7"/>
  <c r="EM4" i="7"/>
  <c r="EN4" i="7"/>
  <c r="EO4" i="7"/>
  <c r="EP4" i="7"/>
  <c r="EQ4" i="7"/>
  <c r="ER4" i="7"/>
  <c r="ES4" i="7"/>
  <c r="ET4" i="7"/>
  <c r="EU4" i="7"/>
  <c r="EV4" i="7"/>
  <c r="EW4" i="7"/>
  <c r="EX4" i="7"/>
  <c r="EY4" i="7"/>
  <c r="EZ4" i="7"/>
  <c r="FA4" i="7"/>
  <c r="FB4" i="7"/>
  <c r="FC4" i="7"/>
  <c r="FD4" i="7"/>
  <c r="FE4" i="7"/>
  <c r="FF4" i="7"/>
  <c r="FG4" i="7"/>
  <c r="FH4" i="7"/>
  <c r="FI4" i="7"/>
  <c r="FJ4" i="7"/>
  <c r="FK4" i="7"/>
  <c r="FL4" i="7"/>
  <c r="FM4" i="7"/>
  <c r="FN4" i="7"/>
  <c r="FO4" i="7"/>
  <c r="FP4" i="7"/>
  <c r="FQ4" i="7"/>
  <c r="FR4" i="7"/>
  <c r="FS4" i="7"/>
  <c r="FT4" i="7"/>
  <c r="FU4" i="7"/>
  <c r="FV4" i="7"/>
  <c r="FW4" i="7"/>
  <c r="FX4" i="7"/>
  <c r="FY4" i="7"/>
  <c r="FZ4" i="7"/>
  <c r="GA4" i="7"/>
  <c r="GB4" i="7"/>
  <c r="GC4" i="7"/>
  <c r="GD4" i="7"/>
  <c r="GE4" i="7"/>
  <c r="GF4" i="7"/>
  <c r="GG4" i="7"/>
  <c r="GH4" i="7"/>
  <c r="GI4" i="7"/>
  <c r="GJ4" i="7"/>
  <c r="GK4" i="7"/>
  <c r="GL4" i="7"/>
  <c r="GM4" i="7"/>
  <c r="GN4" i="7"/>
  <c r="GO4" i="7"/>
  <c r="GP4" i="7"/>
  <c r="GQ4" i="7"/>
  <c r="GR4" i="7"/>
  <c r="GS4" i="7"/>
  <c r="GT4" i="7"/>
  <c r="GU4" i="7"/>
  <c r="GV4" i="7"/>
  <c r="GW4" i="7"/>
  <c r="GX4" i="7"/>
  <c r="GY4" i="7"/>
  <c r="GZ4" i="7"/>
  <c r="HA4" i="7"/>
  <c r="HB4" i="7"/>
  <c r="HC4" i="7"/>
  <c r="HD4" i="7"/>
  <c r="HE4" i="7"/>
  <c r="HF4" i="7"/>
  <c r="HG4" i="7"/>
  <c r="HH4" i="7"/>
  <c r="HI4" i="7"/>
  <c r="HJ4" i="7"/>
  <c r="HK4" i="7"/>
  <c r="HL4" i="7"/>
  <c r="HM4" i="7"/>
  <c r="HN4" i="7"/>
  <c r="HO4" i="7"/>
  <c r="HP4" i="7"/>
  <c r="HQ4" i="7"/>
  <c r="HR4" i="7"/>
  <c r="HS4" i="7"/>
  <c r="HT4" i="7"/>
  <c r="HU4" i="7"/>
  <c r="HV4" i="7"/>
  <c r="HW4" i="7"/>
  <c r="HX4" i="7"/>
  <c r="HY4" i="7"/>
  <c r="HZ4" i="7"/>
  <c r="IA4" i="7"/>
  <c r="IB4" i="7"/>
  <c r="IC4" i="7"/>
  <c r="ID4" i="7"/>
  <c r="IE4" i="7"/>
  <c r="IF4" i="7"/>
  <c r="IG4" i="7"/>
  <c r="IH4" i="7"/>
  <c r="II4" i="7"/>
  <c r="IJ4" i="7"/>
  <c r="IK4" i="7"/>
  <c r="IL4" i="7"/>
  <c r="IM4" i="7"/>
  <c r="IN4" i="7"/>
  <c r="IO4" i="7"/>
  <c r="IP4" i="7"/>
  <c r="IQ4" i="7"/>
  <c r="IR4" i="7"/>
  <c r="IS4" i="7"/>
  <c r="IT4" i="7"/>
  <c r="IU4" i="7"/>
  <c r="IV4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EY3" i="7"/>
  <c r="EZ3" i="7"/>
  <c r="FA3" i="7"/>
  <c r="FB3" i="7"/>
  <c r="FC3" i="7"/>
  <c r="FD3" i="7"/>
  <c r="FE3" i="7"/>
  <c r="FF3" i="7"/>
  <c r="FG3" i="7"/>
  <c r="FH3" i="7"/>
  <c r="FI3" i="7"/>
  <c r="FJ3" i="7"/>
  <c r="FK3" i="7"/>
  <c r="FL3" i="7"/>
  <c r="FM3" i="7"/>
  <c r="FN3" i="7"/>
  <c r="FO3" i="7"/>
  <c r="FP3" i="7"/>
  <c r="FQ3" i="7"/>
  <c r="FR3" i="7"/>
  <c r="FS3" i="7"/>
  <c r="FT3" i="7"/>
  <c r="FU3" i="7"/>
  <c r="FV3" i="7"/>
  <c r="FW3" i="7"/>
  <c r="FX3" i="7"/>
  <c r="FY3" i="7"/>
  <c r="FZ3" i="7"/>
  <c r="GA3" i="7"/>
  <c r="GB3" i="7"/>
  <c r="GC3" i="7"/>
  <c r="GD3" i="7"/>
  <c r="GE3" i="7"/>
  <c r="GF3" i="7"/>
  <c r="GG3" i="7"/>
  <c r="GH3" i="7"/>
  <c r="GI3" i="7"/>
  <c r="GJ3" i="7"/>
  <c r="GK3" i="7"/>
  <c r="GL3" i="7"/>
  <c r="GM3" i="7"/>
  <c r="GN3" i="7"/>
  <c r="GO3" i="7"/>
  <c r="GP3" i="7"/>
  <c r="GQ3" i="7"/>
  <c r="GR3" i="7"/>
  <c r="GS3" i="7"/>
  <c r="GT3" i="7"/>
  <c r="GU3" i="7"/>
  <c r="GV3" i="7"/>
  <c r="GW3" i="7"/>
  <c r="GX3" i="7"/>
  <c r="GY3" i="7"/>
  <c r="GZ3" i="7"/>
  <c r="HA3" i="7"/>
  <c r="HB3" i="7"/>
  <c r="HC3" i="7"/>
  <c r="HD3" i="7"/>
  <c r="HE3" i="7"/>
  <c r="HF3" i="7"/>
  <c r="HG3" i="7"/>
  <c r="HH3" i="7"/>
  <c r="HI3" i="7"/>
  <c r="HJ3" i="7"/>
  <c r="HK3" i="7"/>
  <c r="HL3" i="7"/>
  <c r="HM3" i="7"/>
  <c r="HN3" i="7"/>
  <c r="HO3" i="7"/>
  <c r="HP3" i="7"/>
  <c r="HQ3" i="7"/>
  <c r="HR3" i="7"/>
  <c r="HS3" i="7"/>
  <c r="HT3" i="7"/>
  <c r="HU3" i="7"/>
  <c r="HV3" i="7"/>
  <c r="HW3" i="7"/>
  <c r="HX3" i="7"/>
  <c r="HY3" i="7"/>
  <c r="HZ3" i="7"/>
  <c r="IA3" i="7"/>
  <c r="IB3" i="7"/>
  <c r="IC3" i="7"/>
  <c r="ID3" i="7"/>
  <c r="IE3" i="7"/>
  <c r="IF3" i="7"/>
  <c r="IG3" i="7"/>
  <c r="IH3" i="7"/>
  <c r="II3" i="7"/>
  <c r="IJ3" i="7"/>
  <c r="IK3" i="7"/>
  <c r="IL3" i="7"/>
  <c r="IM3" i="7"/>
  <c r="IN3" i="7"/>
  <c r="IO3" i="7"/>
  <c r="IP3" i="7"/>
  <c r="IQ3" i="7"/>
  <c r="IR3" i="7"/>
  <c r="IS3" i="7"/>
  <c r="IT3" i="7"/>
  <c r="IU3" i="7"/>
  <c r="IV3" i="7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K2" i="7"/>
  <c r="EL2" i="7"/>
  <c r="EM2" i="7"/>
  <c r="EN2" i="7"/>
  <c r="EO2" i="7"/>
  <c r="EP2" i="7"/>
  <c r="EQ2" i="7"/>
  <c r="ER2" i="7"/>
  <c r="ES2" i="7"/>
  <c r="ET2" i="7"/>
  <c r="EU2" i="7"/>
  <c r="EV2" i="7"/>
  <c r="EW2" i="7"/>
  <c r="EX2" i="7"/>
  <c r="EY2" i="7"/>
  <c r="EZ2" i="7"/>
  <c r="FA2" i="7"/>
  <c r="FB2" i="7"/>
  <c r="FC2" i="7"/>
  <c r="FD2" i="7"/>
  <c r="FE2" i="7"/>
  <c r="FF2" i="7"/>
  <c r="FG2" i="7"/>
  <c r="FH2" i="7"/>
  <c r="FI2" i="7"/>
  <c r="FJ2" i="7"/>
  <c r="FK2" i="7"/>
  <c r="FL2" i="7"/>
  <c r="FM2" i="7"/>
  <c r="FN2" i="7"/>
  <c r="FO2" i="7"/>
  <c r="FP2" i="7"/>
  <c r="FQ2" i="7"/>
  <c r="FR2" i="7"/>
  <c r="FS2" i="7"/>
  <c r="FT2" i="7"/>
  <c r="FU2" i="7"/>
  <c r="FV2" i="7"/>
  <c r="FW2" i="7"/>
  <c r="FX2" i="7"/>
  <c r="FY2" i="7"/>
  <c r="FZ2" i="7"/>
  <c r="GA2" i="7"/>
  <c r="GB2" i="7"/>
  <c r="GC2" i="7"/>
  <c r="GD2" i="7"/>
  <c r="GE2" i="7"/>
  <c r="GF2" i="7"/>
  <c r="GG2" i="7"/>
  <c r="GH2" i="7"/>
  <c r="GI2" i="7"/>
  <c r="GJ2" i="7"/>
  <c r="GK2" i="7"/>
  <c r="GL2" i="7"/>
  <c r="GM2" i="7"/>
  <c r="GN2" i="7"/>
  <c r="GO2" i="7"/>
  <c r="GP2" i="7"/>
  <c r="GQ2" i="7"/>
  <c r="GR2" i="7"/>
  <c r="GS2" i="7"/>
  <c r="GT2" i="7"/>
  <c r="GU2" i="7"/>
  <c r="GV2" i="7"/>
  <c r="GW2" i="7"/>
  <c r="GX2" i="7"/>
  <c r="GY2" i="7"/>
  <c r="GZ2" i="7"/>
  <c r="HA2" i="7"/>
  <c r="HB2" i="7"/>
  <c r="HC2" i="7"/>
  <c r="HD2" i="7"/>
  <c r="HE2" i="7"/>
  <c r="HF2" i="7"/>
  <c r="HG2" i="7"/>
  <c r="HH2" i="7"/>
  <c r="HI2" i="7"/>
  <c r="HJ2" i="7"/>
  <c r="HK2" i="7"/>
  <c r="HL2" i="7"/>
  <c r="HM2" i="7"/>
  <c r="HN2" i="7"/>
  <c r="HO2" i="7"/>
  <c r="HP2" i="7"/>
  <c r="HQ2" i="7"/>
  <c r="HR2" i="7"/>
  <c r="HS2" i="7"/>
  <c r="HT2" i="7"/>
  <c r="HU2" i="7"/>
  <c r="HV2" i="7"/>
  <c r="HW2" i="7"/>
  <c r="HX2" i="7"/>
  <c r="HY2" i="7"/>
  <c r="HZ2" i="7"/>
  <c r="IA2" i="7"/>
  <c r="IB2" i="7"/>
  <c r="IC2" i="7"/>
  <c r="ID2" i="7"/>
  <c r="IE2" i="7"/>
  <c r="IF2" i="7"/>
  <c r="IG2" i="7"/>
  <c r="IH2" i="7"/>
  <c r="II2" i="7"/>
  <c r="IJ2" i="7"/>
  <c r="IK2" i="7"/>
  <c r="IL2" i="7"/>
  <c r="IM2" i="7"/>
  <c r="IN2" i="7"/>
  <c r="IO2" i="7"/>
  <c r="IP2" i="7"/>
  <c r="IQ2" i="7"/>
  <c r="IR2" i="7"/>
  <c r="IS2" i="7"/>
  <c r="IT2" i="7"/>
  <c r="IU2" i="7"/>
  <c r="IV2" i="7"/>
  <c r="A1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DA1" i="7"/>
  <c r="DB1" i="7"/>
  <c r="DC1" i="7"/>
  <c r="DD1" i="7"/>
  <c r="DE1" i="7"/>
  <c r="DF1" i="7"/>
  <c r="DG1" i="7"/>
  <c r="DH1" i="7"/>
  <c r="DI1" i="7"/>
  <c r="DJ1" i="7"/>
  <c r="DK1" i="7"/>
  <c r="DL1" i="7"/>
  <c r="DM1" i="7"/>
  <c r="DN1" i="7"/>
  <c r="DO1" i="7"/>
  <c r="DP1" i="7"/>
  <c r="DQ1" i="7"/>
  <c r="DR1" i="7"/>
  <c r="DS1" i="7"/>
  <c r="DT1" i="7"/>
  <c r="DU1" i="7"/>
  <c r="DV1" i="7"/>
  <c r="DW1" i="7"/>
  <c r="DX1" i="7"/>
  <c r="DY1" i="7"/>
  <c r="DZ1" i="7"/>
  <c r="EA1" i="7"/>
  <c r="EB1" i="7"/>
  <c r="EC1" i="7"/>
  <c r="ED1" i="7"/>
  <c r="EE1" i="7"/>
  <c r="EF1" i="7"/>
  <c r="EG1" i="7"/>
  <c r="EH1" i="7"/>
  <c r="EI1" i="7"/>
  <c r="EJ1" i="7"/>
  <c r="EK1" i="7"/>
  <c r="EL1" i="7"/>
  <c r="EM1" i="7"/>
  <c r="EN1" i="7"/>
  <c r="EO1" i="7"/>
  <c r="EP1" i="7"/>
  <c r="EQ1" i="7"/>
  <c r="ER1" i="7"/>
  <c r="ES1" i="7"/>
  <c r="ET1" i="7"/>
  <c r="EU1" i="7"/>
  <c r="EV1" i="7"/>
  <c r="EW1" i="7"/>
  <c r="EX1" i="7"/>
  <c r="EY1" i="7"/>
  <c r="EZ1" i="7"/>
  <c r="FA1" i="7"/>
  <c r="FB1" i="7"/>
  <c r="FC1" i="7"/>
  <c r="FD1" i="7"/>
  <c r="FE1" i="7"/>
  <c r="FF1" i="7"/>
  <c r="FG1" i="7"/>
  <c r="FH1" i="7"/>
  <c r="FI1" i="7"/>
  <c r="FJ1" i="7"/>
  <c r="FK1" i="7"/>
  <c r="FL1" i="7"/>
  <c r="FM1" i="7"/>
  <c r="FN1" i="7"/>
  <c r="FO1" i="7"/>
  <c r="FP1" i="7"/>
  <c r="FQ1" i="7"/>
  <c r="FR1" i="7"/>
  <c r="FS1" i="7"/>
  <c r="FT1" i="7"/>
  <c r="FU1" i="7"/>
  <c r="FV1" i="7"/>
  <c r="FW1" i="7"/>
  <c r="FX1" i="7"/>
  <c r="FY1" i="7"/>
  <c r="FZ1" i="7"/>
  <c r="GA1" i="7"/>
  <c r="GB1" i="7"/>
  <c r="GC1" i="7"/>
  <c r="GD1" i="7"/>
  <c r="GE1" i="7"/>
  <c r="GF1" i="7"/>
  <c r="GG1" i="7"/>
  <c r="GH1" i="7"/>
  <c r="GI1" i="7"/>
  <c r="GJ1" i="7"/>
  <c r="GK1" i="7"/>
  <c r="GL1" i="7"/>
  <c r="GM1" i="7"/>
  <c r="GN1" i="7"/>
  <c r="GO1" i="7"/>
  <c r="GP1" i="7"/>
  <c r="GQ1" i="7"/>
  <c r="GR1" i="7"/>
  <c r="GS1" i="7"/>
  <c r="GT1" i="7"/>
  <c r="GU1" i="7"/>
  <c r="GV1" i="7"/>
  <c r="GW1" i="7"/>
  <c r="GX1" i="7"/>
  <c r="GY1" i="7"/>
  <c r="GZ1" i="7"/>
  <c r="HA1" i="7"/>
  <c r="HB1" i="7"/>
  <c r="HC1" i="7"/>
  <c r="HD1" i="7"/>
  <c r="HE1" i="7"/>
  <c r="HF1" i="7"/>
  <c r="HG1" i="7"/>
  <c r="HH1" i="7"/>
  <c r="HI1" i="7"/>
  <c r="HJ1" i="7"/>
  <c r="HK1" i="7"/>
  <c r="HL1" i="7"/>
  <c r="HM1" i="7"/>
  <c r="HN1" i="7"/>
  <c r="HO1" i="7"/>
  <c r="HP1" i="7"/>
  <c r="HQ1" i="7"/>
  <c r="HR1" i="7"/>
  <c r="HS1" i="7"/>
  <c r="HT1" i="7"/>
  <c r="HU1" i="7"/>
  <c r="HV1" i="7"/>
  <c r="HW1" i="7"/>
  <c r="HX1" i="7"/>
  <c r="HY1" i="7"/>
  <c r="HZ1" i="7"/>
  <c r="IA1" i="7"/>
  <c r="IB1" i="7"/>
  <c r="IC1" i="7"/>
  <c r="ID1" i="7"/>
  <c r="IE1" i="7"/>
  <c r="IF1" i="7"/>
  <c r="IG1" i="7"/>
  <c r="IH1" i="7"/>
  <c r="II1" i="7"/>
  <c r="IJ1" i="7"/>
  <c r="IK1" i="7"/>
  <c r="IL1" i="7"/>
  <c r="IM1" i="7"/>
  <c r="IN1" i="7"/>
  <c r="IO1" i="7"/>
  <c r="IP1" i="7"/>
  <c r="IQ1" i="7"/>
  <c r="IR1" i="7"/>
  <c r="IS1" i="7"/>
  <c r="IT1" i="7"/>
  <c r="IU1" i="7"/>
  <c r="IV1" i="7"/>
  <c r="EA7" i="7"/>
  <c r="GZ9" i="7"/>
  <c r="GY9" i="7"/>
  <c r="GX9" i="7"/>
  <c r="GW9" i="7"/>
  <c r="GV9" i="7"/>
  <c r="GU9" i="7"/>
  <c r="C11" i="7"/>
</calcChain>
</file>

<file path=xl/sharedStrings.xml><?xml version="1.0" encoding="utf-8"?>
<sst xmlns="http://schemas.openxmlformats.org/spreadsheetml/2006/main" count="108" uniqueCount="91">
  <si>
    <t>Training Program Curriculum</t>
  </si>
  <si>
    <t>Module Name</t>
  </si>
  <si>
    <t>Description</t>
  </si>
  <si>
    <t>#</t>
  </si>
  <si>
    <t>Code</t>
  </si>
  <si>
    <t>Mapping</t>
  </si>
  <si>
    <t>AAAAAH9y/ys=</t>
  </si>
  <si>
    <t>AAAAAH9y/yw=</t>
  </si>
  <si>
    <t>AAAAAH9y/y0=</t>
  </si>
  <si>
    <t>The Modules</t>
  </si>
  <si>
    <t>Topics</t>
  </si>
  <si>
    <t>Schedule Design</t>
  </si>
  <si>
    <t>In order to make sure all Outcome Standards (OST) are properly covered, there should be a mapping between OST and Modules/Topics</t>
  </si>
  <si>
    <t>Version</t>
  </si>
  <si>
    <t>Effective Date</t>
  </si>
  <si>
    <t>1.2</t>
  </si>
  <si>
    <t>Fulltime</t>
  </si>
  <si>
    <t>Activities</t>
  </si>
  <si>
    <r>
      <t xml:space="preserve">- </t>
    </r>
    <r>
      <rPr>
        <b/>
        <sz val="9"/>
        <rFont val="Arial"/>
        <family val="2"/>
      </rPr>
      <t>Audit</t>
    </r>
    <r>
      <rPr>
        <sz val="9"/>
        <rFont val="Arial"/>
        <family val="2"/>
      </rPr>
      <t xml:space="preserve">: the trainer will interview each trainee to evaluate the effectiveness of learning and training. There will be relevant solutions for the next training period
- </t>
    </r>
    <r>
      <rPr>
        <b/>
        <sz val="9"/>
        <rFont val="Arial"/>
        <family val="2"/>
      </rPr>
      <t>Presentation:</t>
    </r>
    <r>
      <rPr>
        <sz val="9"/>
        <rFont val="Arial"/>
        <family val="2"/>
      </rPr>
      <t xml:space="preserve"> the trainee be assigned the topics to study, prepare documents/slides and present to the class
- </t>
    </r>
    <r>
      <rPr>
        <b/>
        <sz val="9"/>
        <rFont val="Arial"/>
        <family val="2"/>
      </rPr>
      <t>Quick talk</t>
    </r>
    <r>
      <rPr>
        <sz val="9"/>
        <rFont val="Arial"/>
        <family val="2"/>
      </rPr>
      <t>: Trainees select a random question and answer quickly</t>
    </r>
  </si>
  <si>
    <t>Training time
(hrs)</t>
  </si>
  <si>
    <t>- Activities: các hoạt động học tập bổ trợ khác như Quick talk, Presentation, Audit, Softskills</t>
  </si>
  <si>
    <t>Practices</t>
  </si>
  <si>
    <t>Total</t>
  </si>
  <si>
    <t>hours</t>
  </si>
  <si>
    <t>- Training time (hrs): thời gian học viên học trên lớp bao gồm học Lý thuyết, Hướng dẫn assignment, Chữa bài, Quick talk, Test</t>
  </si>
  <si>
    <t>- Practices: số lượng bài lab/assignment, quiz và final exam của môn học</t>
  </si>
  <si>
    <t>Audit</t>
  </si>
  <si>
    <t>Homework</t>
  </si>
  <si>
    <t>- Topics: danh mục các topics của môn học</t>
  </si>
  <si>
    <t>- Homeworks (hrs): thời gian học viên thực hành/học online tại nhà</t>
  </si>
  <si>
    <t>Correct Assignments &amp; Review</t>
  </si>
  <si>
    <t>for Roles: Java Developer</t>
  </si>
  <si>
    <t>Java Developer Training Program consist of the following Training Modules</t>
  </si>
  <si>
    <t xml:space="preserve">Java Introduction </t>
  </si>
  <si>
    <t>HTTP Server in Java - Pratice &amp; Correcting Homework &amp; Audit</t>
  </si>
  <si>
    <r>
      <rPr>
        <b/>
        <sz val="9"/>
        <rFont val="Arial"/>
        <family val="2"/>
      </rPr>
      <t xml:space="preserve">Lab/Assignments: </t>
    </r>
    <r>
      <rPr>
        <sz val="9"/>
        <rFont val="Arial"/>
        <family val="2"/>
      </rPr>
      <t xml:space="preserve">
- 1 Lab: Create a program that shows Hello World</t>
    </r>
  </si>
  <si>
    <t>- Course Overview Introduction
- Java Introduction (JRE, JVM, JDK)
- Environment, IDE &amp; Plugin, Compiler, Debug tools.
- The first app: Hello word</t>
  </si>
  <si>
    <t>Java Basic</t>
  </si>
  <si>
    <t>Java Compiler</t>
  </si>
  <si>
    <t xml:space="preserve">Lab/Assignments: 
Quiz: 1
</t>
  </si>
  <si>
    <t xml:space="preserve"> - This module introduces Java compiler, concept WORA, and the components memory of Java 
</t>
  </si>
  <si>
    <t>- Working flow of compiler in Java
- Introduce concept WORA in Java
- JVM architecture
- JRE vs JVM vs JDK</t>
  </si>
  <si>
    <t>Java Memory Management</t>
  </si>
  <si>
    <t>- Introduce Stack and Heap memory
- Reference types.
- Garbage Collection in Java
- How Wrapper class store in memory?</t>
  </si>
  <si>
    <t xml:space="preserve">Lab/Assignments: 
Quiz: 
</t>
  </si>
  <si>
    <t>- This module introduce components of Java memory, explain how its store instances,.. And show developers how to avoid leak memory in Java.</t>
  </si>
  <si>
    <t>- Java variables &amp; literals
- Java Datatypes &amp; Operator
- Input &amp; Output.
- Java expression, block &amp; comment
- Keyword in Java
- Java if…else
- Switch statement
- Loop, for-each loop,…
- Arrays, Multidemensional, Copy array</t>
  </si>
  <si>
    <t>- Topics include the introduction of all  basic Java like variables, operator, how to get input and output in java program,…
- Explain flow control of conditional and loop statements.
- Introduce arrays in Java, and how to copy an arrays in Java.</t>
  </si>
  <si>
    <t>Java OOP (I)</t>
  </si>
  <si>
    <t xml:space="preserve">- This topic introduce the concepts of OOP and some others object involve to OOP in Java. </t>
  </si>
  <si>
    <t>Java OOP (II)</t>
  </si>
  <si>
    <t xml:space="preserve">- Abstraction in Java.
- Encapsulation in Java.
- Inheritance in Java.
- Polymorphism in Java.
- Object methods &amp; cloning.
</t>
  </si>
  <si>
    <t>Java String</t>
  </si>
  <si>
    <t xml:space="preserve">- String &amp; Immutable String.
- String Comparison &amp; Concatenation.
- Substring.
- String Buffers &amp; String Builder.
- StringTokenizer Class.
- String methods
</t>
  </si>
  <si>
    <t>Multithreading in Java</t>
  </si>
  <si>
    <t xml:space="preserve">- Life cycle of a thread
- Thread Scheduler.
- Creating, naming, killing a thread.
- Thread piority.
- Synchronization in Java.
- Deadlock in Java.
- Interupting thread
</t>
  </si>
  <si>
    <t>Java I/O</t>
  </si>
  <si>
    <t>Java Collection</t>
  </si>
  <si>
    <t>- Quicktalk
- Presentation</t>
  </si>
  <si>
    <t xml:space="preserve">Lab/Assignments: 
Quiz
</t>
  </si>
  <si>
    <r>
      <t xml:space="preserve">Lab/Assignments: 
- Pratice with File &amp; Directory
- Pratice with </t>
    </r>
    <r>
      <rPr>
        <b/>
        <sz val="9"/>
        <rFont val="Arial"/>
        <family val="2"/>
      </rPr>
      <t>FileInputStream</t>
    </r>
    <r>
      <rPr>
        <sz val="9"/>
        <rFont val="Arial"/>
        <family val="2"/>
      </rPr>
      <t xml:space="preserve">, </t>
    </r>
    <r>
      <rPr>
        <b/>
        <sz val="9"/>
        <rFont val="Arial"/>
        <family val="2"/>
      </rPr>
      <t>ObjectInputStream, FileOutputStream &amp; FileInputStream</t>
    </r>
    <r>
      <rPr>
        <sz val="9"/>
        <rFont val="Arial"/>
        <family val="2"/>
      </rPr>
      <t xml:space="preserve">
Quiz: 
</t>
    </r>
  </si>
  <si>
    <t>- File &amp; Directory
- Stream, OutputStream &amp; InputStream
- Reader &amp; Writer
- Serialization &amp; Serializable Interface</t>
  </si>
  <si>
    <t>- Introduce collection framework
- List Interface
- Comparator vs Comparable 
- Map Interface
- Set Interface
- Queue &amp; Dequeue Interface</t>
  </si>
  <si>
    <t xml:space="preserve">Lab/Assignments: 
- Pratice with Comparable &amp; Comparator
Quiz: 
</t>
  </si>
  <si>
    <t xml:space="preserve">- OOP concepts
- Class &amp; Object.
- Methods, instances &amp; constructor.
- Access modifiers
- static &amp; this &amp; final.
- equal, hashCode method in Object
</t>
  </si>
  <si>
    <t>Java core</t>
  </si>
  <si>
    <t>Java Web</t>
  </si>
  <si>
    <t xml:space="preserve">Lab/Assignments: 
- Create a simple Servlet 
Quiz: 
</t>
  </si>
  <si>
    <t>Servlet basic</t>
  </si>
  <si>
    <t>- Introduce servlet, servlet API
- Web Terminology
- HTTPServlet &amp; GenericServlet
- Servlet life cycle
- Servlet Context
- Servlet Request/Response</t>
  </si>
  <si>
    <t>Servlet Advanced</t>
  </si>
  <si>
    <t>- Session Tracking
- Session vs Cookies
- Event and Listener
- Servlet Filter</t>
  </si>
  <si>
    <t xml:space="preserve">Lab/Assignments: 
- Create a Servlet session, cookies &amp; filter 
Quiz: 
</t>
  </si>
  <si>
    <t>JSP basic</t>
  </si>
  <si>
    <t>- Introduce JSP
- JSP vs Servlet
- JSP Scripting Elements
- JSP implicit Objects
- JSP Request &amp; Response</t>
  </si>
  <si>
    <t>Course Overview
Introduction about tool, env, mod, compile… 
Write the first app.
Link: https://www.javatpoint.com/java-tutorial</t>
  </si>
  <si>
    <t>SQL</t>
  </si>
  <si>
    <t>MySQL</t>
  </si>
  <si>
    <t>- Introduce MySQL
- Entity Relationship, types of its
- Relational Database schema
- Syntax of SQL statement (Create, alter, drop,...)
- Constraints in table, and constraints scope
- Query, Insert, Update, Delete, Functions, Join, Subquery</t>
  </si>
  <si>
    <t>Link: https://www.tutorialspoint.com/sql/index.htm
https://openplanning.net/10237/huong-dan-hoc-sql-cho-nguoi-moi-bat-dau-voi-mysql</t>
  </si>
  <si>
    <t>Spring Framework in Java</t>
  </si>
  <si>
    <t>- Introduce Spring framework and its modules, components
- Spring life cycle
- IoC or dependency injection
- Types of Dependency Injection
- Bean, BeanFactory, Application Context in Spring
- XML-Based configuration</t>
  </si>
  <si>
    <t xml:space="preserve">Link: 
- IoC &amp; DI: https://gpcoder.com/4975-huong-dan-java-design-pattern-dependency-injection/#Dependency_Inversion_Principle_DIP_Inversion_of_Control_IoC_Dependency_Injection_DI_la_gi
- https://www.tutorialspoint.com/spring/spring_java_based_configuration.htm
</t>
  </si>
  <si>
    <t>Spring MVC</t>
  </si>
  <si>
    <t xml:space="preserve">Spring Core </t>
  </si>
  <si>
    <t>- Controller in Spring MVC
- @Component, @Repository, @Service annotation
- Step of configuration in Spring MVC
- ViewResolver, Interceptor, Model in Spring</t>
  </si>
  <si>
    <t>Link: 
- https://www.tutorialspoint.com/springmvc/index.htm</t>
  </si>
  <si>
    <t>Spring Boot</t>
  </si>
  <si>
    <t>- Web application vs Restful Web Service
- Spring vs Spring MVC vs Spring Boot
- Spring Boot configuration and annotation
- Authentication JWT in Spring boot
- Introduce Microservice using Spring boot</t>
  </si>
  <si>
    <t>Link:
- https://www.baeldung.com/spring-vs-spring-boot
- https://www.tutorialspoint.com/spring_boot/index.htm</t>
  </si>
  <si>
    <t>Reference: https://www.edureka.co/blog/servlet-and-jsp-tutorial/
-  https://www.javatpoint.com/servlet-tutorial
- https://www.javatpoint.com/jsp-tutorial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</si>
</sst>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6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(* #,##0.0_);_(* \(#,##0.0\);_(* &quot;-&quot;??_);_(@_)"/>
    <numFmt numFmtId="171" formatCode="&quot;¥&quot;#,##0.00_)\ \ \ ;\(&quot;¥&quot;#,##0.00\)\ \ \ "/>
    <numFmt numFmtId="172" formatCode="&quot;¥&quot;#,##0.00&quot;*&quot;\ \ ;\(&quot;¥&quot;#,##0.00\)&quot;*&quot;\ \ "/>
    <numFmt numFmtId="173" formatCode="&quot;¥&quot;#,##0.00\A_)\ ;\(&quot;¥&quot;#,##0.00\A\)\ \ "/>
    <numFmt numFmtId="174" formatCode="&quot;¥&quot;@\ "/>
    <numFmt numFmtId="175" formatCode="00.000"/>
    <numFmt numFmtId="176" formatCode="&quot;?&quot;#,##0;&quot;?&quot;\-#,##0"/>
    <numFmt numFmtId="177" formatCode="_-* #,##0\ _F_-;\-* #,##0\ _F_-;_-* &quot;-&quot;\ _F_-;_-@_-"/>
    <numFmt numFmtId="178" formatCode="_ &quot;\&quot;* #,##0_ ;_ &quot;\&quot;* \-#,##0_ ;_ &quot;\&quot;* &quot;-&quot;_ ;_ @_ 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.00_ ;_ &quot;\&quot;* \-#,##0.00_ ;_ &quot;\&quot;* &quot;-&quot;??_ ;_ @_ "/>
    <numFmt numFmtId="182" formatCode="_ * #,##0_ ;_ * \-#,##0_ ;_ * &quot;-&quot;_ ;_ @_ "/>
    <numFmt numFmtId="183" formatCode="_ * #,##0.00_ ;_ * \-#,##0.00_ ;_ * &quot;-&quot;??_ ;_ @_ "/>
    <numFmt numFmtId="184" formatCode="0.000000%"/>
    <numFmt numFmtId="185" formatCode="_(* #,##0_);_(* \(#,##0\);_(* &quot;-&quot;??_);_(@_)"/>
    <numFmt numFmtId="186" formatCode="_(* #,##0.00_);_(* \(#,##0.00\);_(* \-??_);_(@_)"/>
    <numFmt numFmtId="187" formatCode="_(* #,##0_);_(* \(#,##0\);_(* \-??_);_(@_)"/>
    <numFmt numFmtId="188" formatCode="&quot;C&quot;#,##0.00_);\(&quot;C&quot;#,##0.00\)"/>
    <numFmt numFmtId="189" formatCode="\$#,##0\ ;\(\$#,##0\)"/>
    <numFmt numFmtId="190" formatCode="&quot;C&quot;#,##0_);\(&quot;C&quot;#,##0\)"/>
    <numFmt numFmtId="191" formatCode="@\ \ \ \ \ "/>
    <numFmt numFmtId="192" formatCode="&quot;C&quot;#,##0_);[Red]\(&quot;C&quot;#,##0\)"/>
    <numFmt numFmtId="193" formatCode="_-* #,##0\ _₫_-;\-* #,##0\ _₫_-;_-* &quot;-&quot;\ _₫_-;_-@_-"/>
    <numFmt numFmtId="194" formatCode="_-* #,##0.00\ _₫_-;\-* #,##0.00\ _₫_-;_-* &quot;-&quot;??\ _₫_-;_-@_-"/>
    <numFmt numFmtId="195" formatCode="#,##0.00_)\ \ \ \ \ ;\(#,##0.00\)\ \ \ \ \ "/>
    <numFmt numFmtId="196" formatCode="&quot;¥&quot;#,##0.00_)\ \ \ \ \ ;\(&quot;¥&quot;#,##0.00\)\ \ \ \ \ "/>
    <numFmt numFmtId="197" formatCode="&quot;¥&quot;#,##0.00\A\ \ \ \ ;\(&quot;¥&quot;#,##0.00\A\)\ \ \ \ "/>
    <numFmt numFmtId="198" formatCode="&quot;¥&quot;#,##0.00&quot;E&quot;\ \ \ \ ;\(&quot;¥&quot;#,##0.00&quot;E&quot;\)\ \ \ \ "/>
    <numFmt numFmtId="199" formatCode="#,##0.00\A\ \ \ \ ;\(#,##0.00\A\)\ \ \ \ "/>
    <numFmt numFmtId="200" formatCode="#,##0.00&quot;E&quot;\ \ \ \ ;\(#,##0.00&quot;E&quot;\)\ \ \ \ "/>
    <numFmt numFmtId="201" formatCode="0%\ \ \ \ \ \ \ "/>
    <numFmt numFmtId="202" formatCode="0."/>
    <numFmt numFmtId="203" formatCode="_(&quot;¥&quot;* #,##0_)\ &quot;millions&quot;;_(&quot;¥&quot;* \(#,##0\)&quot; millions&quot;"/>
    <numFmt numFmtId="204" formatCode="&quot;¥&quot;#,##0\ &quot;MM&quot;;\(&quot;¥&quot;#,##0.00\ &quot;MM&quot;\)"/>
    <numFmt numFmtId="205" formatCode="@&quot; MM&quot;"/>
    <numFmt numFmtId="206" formatCode="#,##0\ &quot;$&quot;_);[Red]\(#,##0\ &quot;$&quot;\)"/>
    <numFmt numFmtId="207" formatCode="&quot;$&quot;###,0&quot;.&quot;00_);[Red]\(&quot;$&quot;###,0&quot;.&quot;00\)"/>
    <numFmt numFmtId="208" formatCode="_-* #,##0.00\ &quot;kr&quot;_-;\-* #,##0.00\ &quot;kr&quot;_-;_-* &quot;-&quot;??\ &quot;kr&quot;_-;_-@_-"/>
    <numFmt numFmtId="209" formatCode="_-* #,##0.00\ _k_r_-;\-* #,##0.00\ _k_r_-;_-* &quot;-&quot;??\ _k_r_-;_-@_-"/>
    <numFmt numFmtId="210" formatCode="0.00000%"/>
    <numFmt numFmtId="211" formatCode="0.0\ \ \ \ \ \ "/>
    <numFmt numFmtId="212" formatCode="0.0%\ \ \ \ \ "/>
    <numFmt numFmtId="213" formatCode="&quot;¥&quot;#\-?/?"/>
    <numFmt numFmtId="214" formatCode="0.00\ \ \ \ "/>
    <numFmt numFmtId="215" formatCode="@\ "/>
    <numFmt numFmtId="216" formatCode="&quot;¥&quot;@"/>
    <numFmt numFmtId="217" formatCode="mm/dd/yy"/>
    <numFmt numFmtId="218" formatCode="#,##0.00\ &quot;F&quot;;[Red]\-#,##0.00\ &quot;F&quot;"/>
    <numFmt numFmtId="219" formatCode="_-* #,##0\ &quot;F&quot;_-;\-* #,##0\ &quot;F&quot;_-;_-* &quot;-&quot;\ &quot;F&quot;_-;_-@_-"/>
    <numFmt numFmtId="220" formatCode="#,##0\ &quot;F&quot;;[Red]\-#,##0\ &quot;F&quot;"/>
    <numFmt numFmtId="221" formatCode="#,##0.00\ &quot;F&quot;;\-#,##0.00\ &quot;F&quot;"/>
    <numFmt numFmtId="222" formatCode="&quot;\&quot;#,##0.00;[Red]\-&quot;\&quot;#,##0.00"/>
    <numFmt numFmtId="223" formatCode="&quot;\&quot;#,##0.00;[Red]&quot;\&quot;\-#,##0.00"/>
    <numFmt numFmtId="224" formatCode="&quot;\&quot;#,##0;[Red]&quot;\&quot;\-#,##0"/>
    <numFmt numFmtId="225" formatCode="[$-409]d\-mmm\-yyyy;@"/>
    <numFmt numFmtId="226" formatCode="0.0"/>
  </numFmts>
  <fonts count="1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8"/>
      <name val="Arial"/>
      <family val="2"/>
    </font>
    <font>
      <sz val="10"/>
      <name val="GillSans"/>
    </font>
    <font>
      <sz val="11"/>
      <name val="??"/>
      <family val="3"/>
    </font>
    <font>
      <sz val="10"/>
      <name val="?? ??"/>
      <family val="1"/>
      <charset val="136"/>
    </font>
    <font>
      <sz val="10"/>
      <name val="Arial"/>
      <family val="2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sz val="12"/>
      <name val="·s²Ó©úÅé"/>
      <family val="1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Tms Rmn"/>
    </font>
    <font>
      <sz val="12"/>
      <name val="µ¸¿òÃ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0"/>
      <name val="MS Serif"/>
      <family val="1"/>
    </font>
    <font>
      <b/>
      <sz val="10"/>
      <name val="Arial"/>
      <family val="2"/>
    </font>
    <font>
      <sz val="10"/>
      <name val="Arial CE"/>
      <family val="2"/>
      <charset val="238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sz val="10"/>
      <name val="Arial"/>
      <family val="2"/>
      <charset val="163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0"/>
      <name val="Tahoma"/>
      <family val="2"/>
    </font>
    <font>
      <b/>
      <sz val="8"/>
      <color indexed="8"/>
      <name val="Helv"/>
    </font>
    <font>
      <sz val="13"/>
      <name val=".VnTime"/>
      <family val="2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u/>
      <sz val="11"/>
      <name val="GillSans"/>
      <family val="2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9"/>
      <name val="Arial"/>
      <family val="2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8"/>
      <name val="Calibri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b/>
      <sz val="20"/>
      <name val="Arial"/>
      <family val="2"/>
    </font>
    <font>
      <i/>
      <sz val="12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30">
    <xf numFmtId="0" fontId="0" fillId="0" borderId="0"/>
    <xf numFmtId="0" fontId="7" fillId="0" borderId="0"/>
    <xf numFmtId="0" fontId="4" fillId="0" borderId="0">
      <alignment horizontal="right"/>
    </xf>
    <xf numFmtId="171" fontId="4" fillId="2" borderId="0"/>
    <xf numFmtId="172" fontId="4" fillId="2" borderId="0"/>
    <xf numFmtId="173" fontId="4" fillId="2" borderId="0"/>
    <xf numFmtId="174" fontId="4" fillId="2" borderId="0">
      <alignment horizontal="right"/>
    </xf>
    <xf numFmtId="175" fontId="5" fillId="0" borderId="0" applyFont="0" applyFill="0" applyBorder="0" applyAlignment="0" applyProtection="0"/>
    <xf numFmtId="0" fontId="6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1" fillId="0" borderId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2" fillId="0" borderId="0"/>
    <xf numFmtId="0" fontId="7" fillId="0" borderId="0" applyNumberFormat="0" applyFill="0" applyBorder="0" applyAlignment="0" applyProtection="0"/>
    <xf numFmtId="177" fontId="13" fillId="0" borderId="0" applyFont="0" applyFill="0" applyBorder="0" applyAlignment="0" applyProtection="0"/>
    <xf numFmtId="0" fontId="14" fillId="0" borderId="0"/>
    <xf numFmtId="0" fontId="14" fillId="0" borderId="0"/>
    <xf numFmtId="0" fontId="15" fillId="0" borderId="0" applyNumberFormat="0" applyFill="0" applyBorder="0" applyAlignment="0" applyProtection="0"/>
    <xf numFmtId="0" fontId="14" fillId="0" borderId="0"/>
    <xf numFmtId="0" fontId="11" fillId="0" borderId="0"/>
    <xf numFmtId="178" fontId="16" fillId="0" borderId="0" applyFont="0" applyFill="0" applyBorder="0" applyAlignment="0" applyProtection="0"/>
    <xf numFmtId="0" fontId="17" fillId="0" borderId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8" fontId="16" fillId="0" borderId="0" applyFont="0" applyFill="0" applyBorder="0" applyAlignment="0" applyProtection="0"/>
    <xf numFmtId="0" fontId="18" fillId="2" borderId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2" borderId="0"/>
    <xf numFmtId="179" fontId="17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7" fillId="0" borderId="0" applyFont="0" applyFill="0" applyBorder="0" applyAlignment="0" applyProtection="0"/>
    <xf numFmtId="0" fontId="23" fillId="0" borderId="0">
      <alignment wrapText="1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178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8" fontId="28" fillId="0" borderId="0" applyFont="0" applyFill="0" applyBorder="0" applyAlignment="0" applyProtection="0"/>
    <xf numFmtId="181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81" fontId="28" fillId="0" borderId="0" applyFont="0" applyFill="0" applyBorder="0" applyAlignment="0" applyProtection="0"/>
    <xf numFmtId="182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83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27" fillId="0" borderId="0"/>
    <xf numFmtId="0" fontId="31" fillId="0" borderId="0"/>
    <xf numFmtId="0" fontId="27" fillId="0" borderId="0"/>
    <xf numFmtId="184" fontId="7" fillId="0" borderId="0" applyFill="0" applyBorder="0" applyAlignment="0"/>
    <xf numFmtId="184" fontId="7" fillId="0" borderId="0" applyFill="0" applyBorder="0" applyAlignment="0"/>
    <xf numFmtId="184" fontId="7" fillId="0" borderId="0" applyFill="0" applyBorder="0" applyAlignment="0"/>
    <xf numFmtId="184" fontId="7" fillId="0" borderId="0" applyFill="0" applyBorder="0" applyAlignment="0"/>
    <xf numFmtId="0" fontId="32" fillId="21" borderId="1" applyNumberFormat="0" applyAlignment="0" applyProtection="0"/>
    <xf numFmtId="0" fontId="32" fillId="21" borderId="1" applyNumberFormat="0" applyAlignment="0" applyProtection="0"/>
    <xf numFmtId="0" fontId="32" fillId="21" borderId="1" applyNumberFormat="0" applyAlignment="0" applyProtection="0"/>
    <xf numFmtId="0" fontId="32" fillId="21" borderId="1" applyNumberFormat="0" applyAlignment="0" applyProtection="0"/>
    <xf numFmtId="0" fontId="32" fillId="21" borderId="1" applyNumberFormat="0" applyAlignment="0" applyProtection="0"/>
    <xf numFmtId="0" fontId="32" fillId="21" borderId="1" applyNumberFormat="0" applyAlignment="0" applyProtection="0"/>
    <xf numFmtId="0" fontId="32" fillId="21" borderId="1" applyNumberFormat="0" applyAlignment="0" applyProtection="0"/>
    <xf numFmtId="0" fontId="32" fillId="21" borderId="1" applyNumberFormat="0" applyAlignment="0" applyProtection="0"/>
    <xf numFmtId="0" fontId="32" fillId="21" borderId="1" applyNumberFormat="0" applyAlignment="0" applyProtection="0"/>
    <xf numFmtId="0" fontId="32" fillId="21" borderId="1" applyNumberFormat="0" applyAlignment="0" applyProtection="0"/>
    <xf numFmtId="0" fontId="32" fillId="21" borderId="1" applyNumberFormat="0" applyAlignment="0" applyProtection="0"/>
    <xf numFmtId="0" fontId="32" fillId="21" borderId="1" applyNumberFormat="0" applyAlignment="0" applyProtection="0"/>
    <xf numFmtId="0" fontId="32" fillId="21" borderId="1" applyNumberFormat="0" applyAlignment="0" applyProtection="0"/>
    <xf numFmtId="0" fontId="32" fillId="21" borderId="1" applyNumberFormat="0" applyAlignment="0" applyProtection="0"/>
    <xf numFmtId="0" fontId="33" fillId="0" borderId="0"/>
    <xf numFmtId="3" fontId="14" fillId="0" borderId="2"/>
    <xf numFmtId="0" fontId="34" fillId="22" borderId="3" applyNumberFormat="0" applyAlignment="0" applyProtection="0"/>
    <xf numFmtId="0" fontId="34" fillId="22" borderId="3" applyNumberFormat="0" applyAlignment="0" applyProtection="0"/>
    <xf numFmtId="0" fontId="34" fillId="22" borderId="3" applyNumberFormat="0" applyAlignment="0" applyProtection="0"/>
    <xf numFmtId="0" fontId="34" fillId="22" borderId="3" applyNumberFormat="0" applyAlignment="0" applyProtection="0"/>
    <xf numFmtId="0" fontId="34" fillId="22" borderId="3" applyNumberFormat="0" applyAlignment="0" applyProtection="0"/>
    <xf numFmtId="0" fontId="34" fillId="22" borderId="3" applyNumberFormat="0" applyAlignment="0" applyProtection="0"/>
    <xf numFmtId="0" fontId="34" fillId="22" borderId="3" applyNumberFormat="0" applyAlignment="0" applyProtection="0"/>
    <xf numFmtId="0" fontId="34" fillId="22" borderId="3" applyNumberFormat="0" applyAlignment="0" applyProtection="0"/>
    <xf numFmtId="0" fontId="34" fillId="22" borderId="3" applyNumberFormat="0" applyAlignment="0" applyProtection="0"/>
    <xf numFmtId="0" fontId="34" fillId="22" borderId="3" applyNumberFormat="0" applyAlignment="0" applyProtection="0"/>
    <xf numFmtId="0" fontId="34" fillId="22" borderId="3" applyNumberFormat="0" applyAlignment="0" applyProtection="0"/>
    <xf numFmtId="0" fontId="34" fillId="22" borderId="3" applyNumberFormat="0" applyAlignment="0" applyProtection="0"/>
    <xf numFmtId="0" fontId="34" fillId="22" borderId="3" applyNumberFormat="0" applyAlignment="0" applyProtection="0"/>
    <xf numFmtId="0" fontId="34" fillId="22" borderId="3" applyNumberFormat="0" applyAlignment="0" applyProtection="0"/>
    <xf numFmtId="185" fontId="35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38" fontId="3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7" fillId="0" borderId="0" applyFont="0" applyFill="0" applyBorder="0" applyAlignment="0" applyProtection="0"/>
    <xf numFmtId="186" fontId="7" fillId="0" borderId="0" applyFill="0" applyBorder="0" applyAlignment="0" applyProtection="0"/>
    <xf numFmtId="169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7" fillId="0" borderId="0" applyFill="0" applyBorder="0" applyAlignment="0" applyProtection="0"/>
    <xf numFmtId="43" fontId="37" fillId="0" borderId="0" applyFont="0" applyFill="0" applyBorder="0" applyAlignment="0" applyProtection="0"/>
    <xf numFmtId="169" fontId="7" fillId="0" borderId="0" applyFont="0" applyFill="0" applyBorder="0" applyAlignment="0" applyProtection="0"/>
    <xf numFmtId="186" fontId="7" fillId="0" borderId="0" applyFill="0" applyBorder="0" applyAlignment="0" applyProtection="0"/>
    <xf numFmtId="186" fontId="7" fillId="0" borderId="0" applyFill="0" applyBorder="0" applyAlignment="0" applyProtection="0"/>
    <xf numFmtId="186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8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6" fontId="7" fillId="0" borderId="0" applyFill="0" applyBorder="0" applyAlignment="0" applyProtection="0"/>
    <xf numFmtId="186" fontId="7" fillId="0" borderId="0" applyFill="0" applyBorder="0" applyAlignment="0" applyProtection="0"/>
    <xf numFmtId="186" fontId="7" fillId="0" borderId="0" applyFill="0" applyBorder="0" applyAlignment="0" applyProtection="0"/>
    <xf numFmtId="186" fontId="7" fillId="0" borderId="0" applyFill="0" applyBorder="0" applyAlignment="0" applyProtection="0"/>
    <xf numFmtId="186" fontId="7" fillId="0" borderId="0" applyFill="0" applyBorder="0" applyAlignment="0" applyProtection="0"/>
    <xf numFmtId="186" fontId="7" fillId="0" borderId="0" applyFill="0" applyBorder="0" applyAlignment="0" applyProtection="0"/>
    <xf numFmtId="186" fontId="7" fillId="0" borderId="0" applyFill="0" applyBorder="0" applyAlignment="0" applyProtection="0"/>
    <xf numFmtId="186" fontId="7" fillId="0" borderId="0" applyFill="0" applyBorder="0" applyAlignment="0" applyProtection="0"/>
    <xf numFmtId="186" fontId="7" fillId="0" borderId="0" applyFill="0" applyBorder="0" applyAlignment="0" applyProtection="0"/>
    <xf numFmtId="169" fontId="19" fillId="0" borderId="0" applyFont="0" applyFill="0" applyBorder="0" applyAlignment="0" applyProtection="0"/>
    <xf numFmtId="186" fontId="7" fillId="0" borderId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7" fillId="0" borderId="0" applyFont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43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87" fontId="7" fillId="0" borderId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43" fontId="39" fillId="0" borderId="0" applyFont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69" fontId="7" fillId="0" borderId="0" applyFont="0" applyFill="0" applyBorder="0" applyAlignment="0" applyProtection="0"/>
    <xf numFmtId="169" fontId="13" fillId="0" borderId="0" applyFont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7" fillId="0" borderId="0" applyFont="0" applyFill="0" applyBorder="0" applyAlignment="0" applyProtection="0"/>
    <xf numFmtId="43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69" fontId="7" fillId="0" borderId="0" applyFont="0" applyFill="0" applyBorder="0" applyAlignment="0" applyProtection="0"/>
    <xf numFmtId="187" fontId="7" fillId="0" borderId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7" fillId="0" borderId="0" applyFont="0" applyFill="0" applyBorder="0" applyAlignment="0" applyProtection="0"/>
    <xf numFmtId="43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69" fontId="7" fillId="0" borderId="0" applyFont="0" applyFill="0" applyBorder="0" applyAlignment="0" applyProtection="0"/>
    <xf numFmtId="187" fontId="7" fillId="0" borderId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7" fontId="7" fillId="0" borderId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69" fontId="13" fillId="0" borderId="0" applyFont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6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7" fillId="0" borderId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7" fontId="7" fillId="0" borderId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7" fontId="7" fillId="0" borderId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69" fontId="13" fillId="0" borderId="0" applyFont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69" fontId="13" fillId="0" borderId="0" applyFont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69" fontId="13" fillId="0" borderId="0" applyFont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169" fontId="13" fillId="0" borderId="0" applyFont="0" applyFill="0" applyBorder="0" applyAlignment="0" applyProtection="0"/>
    <xf numFmtId="187" fontId="7" fillId="0" borderId="0" applyFill="0" applyBorder="0" applyAlignment="0" applyProtection="0"/>
    <xf numFmtId="187" fontId="7" fillId="0" borderId="0" applyFill="0" applyBorder="0" applyAlignment="0" applyProtection="0"/>
    <xf numFmtId="43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86" fontId="7" fillId="0" borderId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86" fontId="7" fillId="0" borderId="0" applyFill="0" applyBorder="0" applyAlignment="0" applyProtection="0"/>
    <xf numFmtId="43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86" fontId="7" fillId="0" borderId="0" applyFill="0" applyBorder="0" applyAlignment="0" applyProtection="0"/>
    <xf numFmtId="170" fontId="7" fillId="0" borderId="0" applyFill="0" applyBorder="0" applyAlignment="0" applyProtection="0"/>
    <xf numFmtId="169" fontId="37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86" fontId="7" fillId="0" borderId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37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37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9" fillId="0" borderId="0" applyFont="0" applyFill="0" applyBorder="0" applyAlignment="0" applyProtection="0"/>
    <xf numFmtId="16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8" fontId="14" fillId="0" borderId="0"/>
    <xf numFmtId="3" fontId="7" fillId="0" borderId="0" applyFont="0" applyFill="0" applyBorder="0" applyAlignment="0" applyProtection="0"/>
    <xf numFmtId="0" fontId="41" fillId="0" borderId="0" applyNumberFormat="0" applyAlignment="0">
      <alignment horizontal="left"/>
    </xf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19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14" fillId="0" borderId="0"/>
    <xf numFmtId="191" fontId="4" fillId="2" borderId="4">
      <alignment horizontal="right"/>
    </xf>
    <xf numFmtId="191" fontId="4" fillId="2" borderId="4">
      <alignment horizontal="right"/>
    </xf>
    <xf numFmtId="0" fontId="42" fillId="2" borderId="0" applyNumberFormat="0" applyFont="0" applyFill="0" applyBorder="0" applyProtection="0">
      <alignment horizontal="left"/>
    </xf>
    <xf numFmtId="0" fontId="7" fillId="0" borderId="0" applyFont="0" applyFill="0" applyBorder="0" applyAlignment="0" applyProtection="0"/>
    <xf numFmtId="192" fontId="14" fillId="0" borderId="0"/>
    <xf numFmtId="41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41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93" fontId="43" fillId="0" borderId="0" applyFont="0" applyFill="0" applyBorder="0" applyAlignment="0" applyProtection="0"/>
    <xf numFmtId="193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194" fontId="43" fillId="0" borderId="0" applyFont="0" applyFill="0" applyBorder="0" applyAlignment="0" applyProtection="0"/>
    <xf numFmtId="194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0" fontId="44" fillId="0" borderId="0" applyNumberFormat="0" applyAlignment="0">
      <alignment horizontal="left"/>
    </xf>
    <xf numFmtId="195" fontId="4" fillId="23" borderId="0"/>
    <xf numFmtId="196" fontId="4" fillId="23" borderId="0"/>
    <xf numFmtId="197" fontId="4" fillId="23" borderId="0"/>
    <xf numFmtId="198" fontId="4" fillId="0" borderId="0"/>
    <xf numFmtId="199" fontId="4" fillId="0" borderId="0"/>
    <xf numFmtId="200" fontId="4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2" fontId="7" fillId="0" borderId="0" applyFont="0" applyFill="0" applyBorder="0" applyAlignment="0" applyProtection="0"/>
    <xf numFmtId="196" fontId="4" fillId="0" borderId="5"/>
    <xf numFmtId="201" fontId="4" fillId="2" borderId="4">
      <alignment horizontal="right"/>
    </xf>
    <xf numFmtId="201" fontId="4" fillId="2" borderId="4">
      <alignment horizontal="right"/>
    </xf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38" fontId="3" fillId="2" borderId="0" applyNumberFormat="0" applyBorder="0" applyAlignment="0" applyProtection="0"/>
    <xf numFmtId="0" fontId="47" fillId="0" borderId="0">
      <alignment horizontal="left"/>
    </xf>
    <xf numFmtId="0" fontId="48" fillId="0" borderId="6" applyNumberFormat="0" applyAlignment="0" applyProtection="0">
      <alignment horizontal="left" vertical="center"/>
    </xf>
    <xf numFmtId="0" fontId="48" fillId="0" borderId="7">
      <alignment horizontal="left" vertical="center"/>
    </xf>
    <xf numFmtId="202" fontId="49" fillId="24" borderId="0">
      <alignment horizontal="left" vertical="top"/>
    </xf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0" borderId="9" applyNumberFormat="0" applyFill="0" applyAlignment="0" applyProtection="0"/>
    <xf numFmtId="0" fontId="52" fillId="0" borderId="9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10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1" fillId="0" borderId="0" applyProtection="0"/>
    <xf numFmtId="0" fontId="48" fillId="0" borderId="0" applyProtection="0"/>
    <xf numFmtId="164" fontId="54" fillId="25" borderId="2" applyNumberFormat="0" applyAlignment="0">
      <alignment horizontal="left" vertical="top"/>
    </xf>
    <xf numFmtId="49" fontId="55" fillId="0" borderId="2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0" fontId="57" fillId="0" borderId="0" applyBorder="0"/>
    <xf numFmtId="0" fontId="40" fillId="24" borderId="0">
      <alignment horizontal="left" wrapText="1" indent="2"/>
    </xf>
    <xf numFmtId="10" fontId="3" fillId="24" borderId="2" applyNumberFormat="0" applyBorder="0" applyAlignment="0" applyProtection="0"/>
    <xf numFmtId="0" fontId="58" fillId="8" borderId="1" applyNumberFormat="0" applyAlignment="0" applyProtection="0"/>
    <xf numFmtId="0" fontId="58" fillId="8" borderId="1" applyNumberFormat="0" applyAlignment="0" applyProtection="0"/>
    <xf numFmtId="0" fontId="58" fillId="8" borderId="1" applyNumberFormat="0" applyAlignment="0" applyProtection="0"/>
    <xf numFmtId="0" fontId="58" fillId="8" borderId="1" applyNumberFormat="0" applyAlignment="0" applyProtection="0"/>
    <xf numFmtId="0" fontId="58" fillId="8" borderId="1" applyNumberFormat="0" applyAlignment="0" applyProtection="0"/>
    <xf numFmtId="0" fontId="58" fillId="8" borderId="1" applyNumberFormat="0" applyAlignment="0" applyProtection="0"/>
    <xf numFmtId="0" fontId="58" fillId="8" borderId="1" applyNumberFormat="0" applyAlignment="0" applyProtection="0"/>
    <xf numFmtId="0" fontId="58" fillId="8" borderId="1" applyNumberFormat="0" applyAlignment="0" applyProtection="0"/>
    <xf numFmtId="0" fontId="58" fillId="8" borderId="1" applyNumberFormat="0" applyAlignment="0" applyProtection="0"/>
    <xf numFmtId="0" fontId="58" fillId="8" borderId="1" applyNumberFormat="0" applyAlignment="0" applyProtection="0"/>
    <xf numFmtId="0" fontId="58" fillId="8" borderId="1" applyNumberFormat="0" applyAlignment="0" applyProtection="0"/>
    <xf numFmtId="0" fontId="58" fillId="8" borderId="1" applyNumberFormat="0" applyAlignment="0" applyProtection="0"/>
    <xf numFmtId="0" fontId="58" fillId="8" borderId="1" applyNumberFormat="0" applyAlignment="0" applyProtection="0"/>
    <xf numFmtId="0" fontId="58" fillId="8" borderId="1" applyNumberFormat="0" applyAlignment="0" applyProtection="0"/>
    <xf numFmtId="0" fontId="57" fillId="0" borderId="0"/>
    <xf numFmtId="0" fontId="13" fillId="0" borderId="0"/>
    <xf numFmtId="0" fontId="14" fillId="0" borderId="0"/>
    <xf numFmtId="0" fontId="7" fillId="0" borderId="0"/>
    <xf numFmtId="0" fontId="7" fillId="0" borderId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203" fontId="4" fillId="0" borderId="0">
      <alignment horizontal="right"/>
    </xf>
    <xf numFmtId="204" fontId="4" fillId="23" borderId="0">
      <alignment horizontal="right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205" fontId="4" fillId="23" borderId="4">
      <alignment horizontal="right"/>
    </xf>
    <xf numFmtId="0" fontId="60" fillId="0" borderId="12"/>
    <xf numFmtId="42" fontId="7" fillId="0" borderId="13"/>
    <xf numFmtId="206" fontId="14" fillId="0" borderId="0" applyFont="0" applyFill="0" applyBorder="0" applyAlignment="0" applyProtection="0"/>
    <xf numFmtId="207" fontId="14" fillId="0" borderId="0" applyFont="0" applyFill="0" applyBorder="0" applyAlignment="0" applyProtection="0"/>
    <xf numFmtId="208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0" fontId="61" fillId="0" borderId="0" applyNumberFormat="0" applyFont="0" applyFill="0" applyAlignment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2" fillId="26" borderId="0" applyNumberFormat="0" applyBorder="0" applyAlignment="0" applyProtection="0"/>
    <xf numFmtId="0" fontId="63" fillId="0" borderId="0"/>
    <xf numFmtId="37" fontId="64" fillId="0" borderId="0"/>
    <xf numFmtId="210" fontId="7" fillId="0" borderId="0"/>
    <xf numFmtId="210" fontId="7" fillId="0" borderId="0"/>
    <xf numFmtId="210" fontId="7" fillId="0" borderId="0"/>
    <xf numFmtId="21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39" fillId="0" borderId="0"/>
    <xf numFmtId="0" fontId="12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3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/>
    <xf numFmtId="0" fontId="39" fillId="0" borderId="0"/>
    <xf numFmtId="0" fontId="39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3" fillId="0" borderId="0"/>
    <xf numFmtId="0" fontId="39" fillId="0" borderId="0"/>
    <xf numFmtId="0" fontId="39" fillId="0" borderId="0"/>
    <xf numFmtId="0" fontId="121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1" fillId="0" borderId="0"/>
    <xf numFmtId="0" fontId="7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39" fillId="0" borderId="0"/>
    <xf numFmtId="0" fontId="39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3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/>
    <xf numFmtId="0" fontId="13" fillId="0" borderId="0"/>
    <xf numFmtId="0" fontId="13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25" fillId="0" borderId="0"/>
    <xf numFmtId="0" fontId="125" fillId="0" borderId="0"/>
    <xf numFmtId="0" fontId="37" fillId="0" borderId="0"/>
    <xf numFmtId="0" fontId="37" fillId="0" borderId="0"/>
    <xf numFmtId="0" fontId="3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37" fillId="0" borderId="0"/>
    <xf numFmtId="0" fontId="1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3" fillId="0" borderId="0"/>
    <xf numFmtId="0" fontId="1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" fillId="0" borderId="0"/>
    <xf numFmtId="0" fontId="123" fillId="0" borderId="0"/>
    <xf numFmtId="0" fontId="7" fillId="0" borderId="0"/>
    <xf numFmtId="0" fontId="13" fillId="0" borderId="0"/>
    <xf numFmtId="0" fontId="3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5" fillId="0" borderId="0"/>
    <xf numFmtId="0" fontId="7" fillId="0" borderId="0"/>
    <xf numFmtId="0" fontId="7" fillId="0" borderId="0"/>
    <xf numFmtId="0" fontId="13" fillId="0" borderId="0"/>
    <xf numFmtId="0" fontId="43" fillId="0" borderId="0"/>
    <xf numFmtId="0" fontId="7" fillId="27" borderId="14" applyNumberFormat="0" applyFont="0" applyAlignment="0" applyProtection="0"/>
    <xf numFmtId="0" fontId="13" fillId="27" borderId="14" applyNumberFormat="0" applyFont="0" applyAlignment="0" applyProtection="0"/>
    <xf numFmtId="0" fontId="13" fillId="27" borderId="14" applyNumberFormat="0" applyFont="0" applyAlignment="0" applyProtection="0"/>
    <xf numFmtId="0" fontId="13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7" fillId="27" borderId="14" applyNumberFormat="0" applyFont="0" applyAlignment="0" applyProtection="0"/>
    <xf numFmtId="0" fontId="66" fillId="21" borderId="15" applyNumberFormat="0" applyAlignment="0" applyProtection="0"/>
    <xf numFmtId="0" fontId="66" fillId="21" borderId="15" applyNumberFormat="0" applyAlignment="0" applyProtection="0"/>
    <xf numFmtId="0" fontId="66" fillId="21" borderId="15" applyNumberFormat="0" applyAlignment="0" applyProtection="0"/>
    <xf numFmtId="0" fontId="66" fillId="21" borderId="15" applyNumberFormat="0" applyAlignment="0" applyProtection="0"/>
    <xf numFmtId="0" fontId="66" fillId="21" borderId="15" applyNumberFormat="0" applyAlignment="0" applyProtection="0"/>
    <xf numFmtId="0" fontId="66" fillId="21" borderId="15" applyNumberFormat="0" applyAlignment="0" applyProtection="0"/>
    <xf numFmtId="0" fontId="66" fillId="21" borderId="15" applyNumberFormat="0" applyAlignment="0" applyProtection="0"/>
    <xf numFmtId="0" fontId="66" fillId="21" borderId="15" applyNumberFormat="0" applyAlignment="0" applyProtection="0"/>
    <xf numFmtId="0" fontId="66" fillId="21" borderId="15" applyNumberFormat="0" applyAlignment="0" applyProtection="0"/>
    <xf numFmtId="0" fontId="66" fillId="21" borderId="15" applyNumberFormat="0" applyAlignment="0" applyProtection="0"/>
    <xf numFmtId="0" fontId="66" fillId="21" borderId="15" applyNumberFormat="0" applyAlignment="0" applyProtection="0"/>
    <xf numFmtId="0" fontId="66" fillId="21" borderId="15" applyNumberFormat="0" applyAlignment="0" applyProtection="0"/>
    <xf numFmtId="0" fontId="66" fillId="21" borderId="15" applyNumberFormat="0" applyAlignment="0" applyProtection="0"/>
    <xf numFmtId="0" fontId="66" fillId="21" borderId="15" applyNumberFormat="0" applyAlignment="0" applyProtection="0"/>
    <xf numFmtId="211" fontId="4" fillId="23" borderId="0"/>
    <xf numFmtId="212" fontId="4" fillId="0" borderId="0"/>
    <xf numFmtId="9" fontId="1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3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3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ill="0" applyBorder="0" applyAlignment="0" applyProtection="0"/>
    <xf numFmtId="9" fontId="37" fillId="0" borderId="0" applyFont="0" applyFill="0" applyBorder="0" applyAlignment="0" applyProtection="0"/>
    <xf numFmtId="213" fontId="4" fillId="23" borderId="0">
      <alignment horizontal="right"/>
    </xf>
    <xf numFmtId="0" fontId="14" fillId="0" borderId="0" applyNumberFormat="0" applyFont="0" applyFill="0" applyBorder="0" applyAlignment="0" applyProtection="0">
      <alignment horizontal="left"/>
    </xf>
    <xf numFmtId="0" fontId="67" fillId="0" borderId="12">
      <alignment horizontal="center"/>
    </xf>
    <xf numFmtId="214" fontId="4" fillId="2" borderId="0"/>
    <xf numFmtId="214" fontId="4" fillId="2" borderId="0"/>
    <xf numFmtId="0" fontId="68" fillId="0" borderId="0">
      <alignment horizontal="center"/>
    </xf>
    <xf numFmtId="0" fontId="4" fillId="0" borderId="16">
      <alignment horizontal="centerContinuous"/>
    </xf>
    <xf numFmtId="215" fontId="4" fillId="2" borderId="0">
      <alignment horizontal="right"/>
    </xf>
    <xf numFmtId="216" fontId="4" fillId="2" borderId="4">
      <alignment horizontal="right"/>
    </xf>
    <xf numFmtId="217" fontId="69" fillId="0" borderId="0" applyNumberFormat="0" applyFill="0" applyBorder="0" applyAlignment="0" applyProtection="0">
      <alignment horizontal="left"/>
    </xf>
    <xf numFmtId="4" fontId="70" fillId="28" borderId="17" applyNumberFormat="0" applyProtection="0">
      <alignment vertical="center"/>
    </xf>
    <xf numFmtId="4" fontId="71" fillId="28" borderId="17" applyNumberFormat="0" applyProtection="0">
      <alignment vertical="center"/>
    </xf>
    <xf numFmtId="4" fontId="72" fillId="28" borderId="17" applyNumberFormat="0" applyProtection="0">
      <alignment horizontal="left" vertical="center" indent="1"/>
    </xf>
    <xf numFmtId="0" fontId="73" fillId="28" borderId="17" applyNumberFormat="0" applyProtection="0">
      <alignment horizontal="left" vertical="top" indent="1"/>
    </xf>
    <xf numFmtId="4" fontId="72" fillId="29" borderId="0" applyNumberFormat="0" applyProtection="0">
      <alignment horizontal="left" vertical="center" indent="1"/>
    </xf>
    <xf numFmtId="4" fontId="72" fillId="30" borderId="17" applyNumberFormat="0" applyProtection="0">
      <alignment horizontal="right" vertical="center"/>
    </xf>
    <xf numFmtId="4" fontId="72" fillId="31" borderId="17" applyNumberFormat="0" applyProtection="0">
      <alignment horizontal="right" vertical="center"/>
    </xf>
    <xf numFmtId="4" fontId="72" fillId="32" borderId="17" applyNumberFormat="0" applyProtection="0">
      <alignment horizontal="right" vertical="center"/>
    </xf>
    <xf numFmtId="4" fontId="72" fillId="33" borderId="17" applyNumberFormat="0" applyProtection="0">
      <alignment horizontal="right" vertical="center"/>
    </xf>
    <xf numFmtId="4" fontId="72" fillId="34" borderId="17" applyNumberFormat="0" applyProtection="0">
      <alignment horizontal="right" vertical="center"/>
    </xf>
    <xf numFmtId="4" fontId="72" fillId="35" borderId="17" applyNumberFormat="0" applyProtection="0">
      <alignment horizontal="right" vertical="center"/>
    </xf>
    <xf numFmtId="4" fontId="72" fillId="36" borderId="17" applyNumberFormat="0" applyProtection="0">
      <alignment horizontal="right" vertical="center"/>
    </xf>
    <xf numFmtId="4" fontId="72" fillId="37" borderId="17" applyNumberFormat="0" applyProtection="0">
      <alignment horizontal="right" vertical="center"/>
    </xf>
    <xf numFmtId="4" fontId="72" fillId="38" borderId="17" applyNumberFormat="0" applyProtection="0">
      <alignment horizontal="right" vertical="center"/>
    </xf>
    <xf numFmtId="4" fontId="70" fillId="39" borderId="18" applyNumberFormat="0" applyProtection="0">
      <alignment horizontal="left" vertical="center" indent="1"/>
    </xf>
    <xf numFmtId="4" fontId="70" fillId="40" borderId="0" applyNumberFormat="0" applyProtection="0">
      <alignment horizontal="left" vertical="center" indent="1"/>
    </xf>
    <xf numFmtId="4" fontId="70" fillId="29" borderId="0" applyNumberFormat="0" applyProtection="0">
      <alignment horizontal="left" vertical="center" indent="1"/>
    </xf>
    <xf numFmtId="4" fontId="72" fillId="40" borderId="17" applyNumberFormat="0" applyProtection="0">
      <alignment horizontal="right" vertical="center"/>
    </xf>
    <xf numFmtId="4" fontId="37" fillId="40" borderId="0" applyNumberFormat="0" applyProtection="0">
      <alignment horizontal="left" vertical="center" indent="1"/>
    </xf>
    <xf numFmtId="4" fontId="37" fillId="29" borderId="0" applyNumberFormat="0" applyProtection="0">
      <alignment horizontal="left" vertical="center" indent="1"/>
    </xf>
    <xf numFmtId="0" fontId="7" fillId="29" borderId="17" applyNumberFormat="0" applyProtection="0">
      <alignment horizontal="left" vertical="center" indent="1"/>
    </xf>
    <xf numFmtId="0" fontId="7" fillId="29" borderId="17" applyNumberFormat="0" applyProtection="0">
      <alignment horizontal="left" vertical="top" indent="1"/>
    </xf>
    <xf numFmtId="0" fontId="7" fillId="25" borderId="17" applyNumberFormat="0" applyProtection="0">
      <alignment horizontal="left" vertical="center" indent="1"/>
    </xf>
    <xf numFmtId="0" fontId="7" fillId="25" borderId="17" applyNumberFormat="0" applyProtection="0">
      <alignment horizontal="left" vertical="top" indent="1"/>
    </xf>
    <xf numFmtId="0" fontId="7" fillId="40" borderId="17" applyNumberFormat="0" applyProtection="0">
      <alignment horizontal="left" vertical="center" indent="1"/>
    </xf>
    <xf numFmtId="0" fontId="7" fillId="40" borderId="17" applyNumberFormat="0" applyProtection="0">
      <alignment horizontal="left" vertical="top" indent="1"/>
    </xf>
    <xf numFmtId="0" fontId="7" fillId="41" borderId="17" applyNumberFormat="0" applyProtection="0">
      <alignment horizontal="left" vertical="center" indent="1"/>
    </xf>
    <xf numFmtId="0" fontId="7" fillId="41" borderId="17" applyNumberFormat="0" applyProtection="0">
      <alignment horizontal="left" vertical="top" indent="1"/>
    </xf>
    <xf numFmtId="4" fontId="72" fillId="41" borderId="17" applyNumberFormat="0" applyProtection="0">
      <alignment vertical="center"/>
    </xf>
    <xf numFmtId="4" fontId="74" fillId="41" borderId="17" applyNumberFormat="0" applyProtection="0">
      <alignment vertical="center"/>
    </xf>
    <xf numFmtId="4" fontId="70" fillId="40" borderId="19" applyNumberFormat="0" applyProtection="0">
      <alignment horizontal="left" vertical="center" indent="1"/>
    </xf>
    <xf numFmtId="0" fontId="37" fillId="24" borderId="17" applyNumberFormat="0" applyProtection="0">
      <alignment horizontal="left" vertical="top" indent="1"/>
    </xf>
    <xf numFmtId="4" fontId="72" fillId="41" borderId="17" applyNumberFormat="0" applyProtection="0">
      <alignment horizontal="right" vertical="center"/>
    </xf>
    <xf numFmtId="4" fontId="74" fillId="41" borderId="17" applyNumberFormat="0" applyProtection="0">
      <alignment horizontal="right" vertical="center"/>
    </xf>
    <xf numFmtId="4" fontId="70" fillId="40" borderId="17" applyNumberFormat="0" applyProtection="0">
      <alignment horizontal="left" vertical="center" indent="1"/>
    </xf>
    <xf numFmtId="0" fontId="37" fillId="25" borderId="17" applyNumberFormat="0" applyProtection="0">
      <alignment horizontal="left" vertical="top" indent="1"/>
    </xf>
    <xf numFmtId="4" fontId="75" fillId="25" borderId="19" applyNumberFormat="0" applyProtection="0">
      <alignment horizontal="left" vertical="center" indent="1"/>
    </xf>
    <xf numFmtId="4" fontId="76" fillId="41" borderId="17" applyNumberFormat="0" applyProtection="0">
      <alignment horizontal="right" vertical="center"/>
    </xf>
    <xf numFmtId="0" fontId="14" fillId="0" borderId="0"/>
    <xf numFmtId="185" fontId="35" fillId="0" borderId="0" applyFont="0" applyFill="0" applyBorder="0" applyAlignment="0" applyProtection="0"/>
    <xf numFmtId="0" fontId="60" fillId="0" borderId="0"/>
    <xf numFmtId="0" fontId="77" fillId="24" borderId="0">
      <alignment wrapText="1"/>
    </xf>
    <xf numFmtId="40" fontId="78" fillId="0" borderId="0" applyBorder="0">
      <alignment horizontal="right"/>
    </xf>
    <xf numFmtId="218" fontId="79" fillId="0" borderId="20">
      <alignment horizontal="right" vertical="center"/>
    </xf>
    <xf numFmtId="49" fontId="80" fillId="0" borderId="0"/>
    <xf numFmtId="219" fontId="79" fillId="0" borderId="20">
      <alignment horizontal="center"/>
    </xf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3" fillId="0" borderId="0"/>
    <xf numFmtId="0" fontId="84" fillId="0" borderId="21" applyNumberFormat="0" applyFill="0" applyAlignment="0" applyProtection="0"/>
    <xf numFmtId="0" fontId="84" fillId="0" borderId="21" applyNumberFormat="0" applyFill="0" applyAlignment="0" applyProtection="0"/>
    <xf numFmtId="0" fontId="84" fillId="0" borderId="21" applyNumberFormat="0" applyFill="0" applyAlignment="0" applyProtection="0"/>
    <xf numFmtId="0" fontId="84" fillId="0" borderId="21" applyNumberForma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84" fillId="0" borderId="21" applyNumberFormat="0" applyFill="0" applyAlignment="0" applyProtection="0"/>
    <xf numFmtId="0" fontId="84" fillId="0" borderId="21" applyNumberFormat="0" applyFill="0" applyAlignment="0" applyProtection="0"/>
    <xf numFmtId="220" fontId="79" fillId="0" borderId="0"/>
    <xf numFmtId="221" fontId="79" fillId="0" borderId="2"/>
    <xf numFmtId="164" fontId="85" fillId="42" borderId="23">
      <alignment vertical="top"/>
    </xf>
    <xf numFmtId="0" fontId="86" fillId="43" borderId="2">
      <alignment horizontal="left" vertical="center"/>
    </xf>
    <xf numFmtId="165" fontId="87" fillId="44" borderId="23"/>
    <xf numFmtId="164" fontId="54" fillId="0" borderId="23">
      <alignment horizontal="left" vertical="top"/>
    </xf>
    <xf numFmtId="0" fontId="88" fillId="45" borderId="0">
      <alignment horizontal="left" vertical="center"/>
    </xf>
    <xf numFmtId="164" fontId="15" fillId="0" borderId="24">
      <alignment horizontal="left" vertical="top"/>
    </xf>
    <xf numFmtId="0" fontId="89" fillId="0" borderId="24">
      <alignment horizontal="left" vertical="center"/>
    </xf>
    <xf numFmtId="166" fontId="43" fillId="0" borderId="0" applyFont="0" applyFill="0" applyBorder="0" applyAlignment="0" applyProtection="0"/>
    <xf numFmtId="168" fontId="43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0" borderId="0"/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22" borderId="3" applyNumberFormat="0" applyAlignment="0" applyProtection="0">
      <alignment vertical="center"/>
    </xf>
    <xf numFmtId="0" fontId="93" fillId="22" borderId="3" applyNumberFormat="0" applyAlignment="0" applyProtection="0">
      <alignment vertical="center"/>
    </xf>
    <xf numFmtId="0" fontId="93" fillId="22" borderId="3" applyNumberFormat="0" applyAlignment="0" applyProtection="0">
      <alignment vertical="center"/>
    </xf>
    <xf numFmtId="0" fontId="93" fillId="22" borderId="3" applyNumberFormat="0" applyAlignment="0" applyProtection="0">
      <alignment vertical="center"/>
    </xf>
    <xf numFmtId="0" fontId="93" fillId="22" borderId="3" applyNumberFormat="0" applyAlignment="0" applyProtection="0">
      <alignment vertical="center"/>
    </xf>
    <xf numFmtId="0" fontId="93" fillId="22" borderId="3" applyNumberFormat="0" applyAlignment="0" applyProtection="0">
      <alignment vertical="center"/>
    </xf>
    <xf numFmtId="0" fontId="93" fillId="22" borderId="3" applyNumberFormat="0" applyAlignment="0" applyProtection="0">
      <alignment vertical="center"/>
    </xf>
    <xf numFmtId="0" fontId="93" fillId="22" borderId="3" applyNumberFormat="0" applyAlignment="0" applyProtection="0">
      <alignment vertical="center"/>
    </xf>
    <xf numFmtId="0" fontId="93" fillId="22" borderId="3" applyNumberFormat="0" applyAlignment="0" applyProtection="0">
      <alignment vertical="center"/>
    </xf>
    <xf numFmtId="0" fontId="93" fillId="22" borderId="3" applyNumberFormat="0" applyAlignment="0" applyProtection="0">
      <alignment vertical="center"/>
    </xf>
    <xf numFmtId="0" fontId="93" fillId="22" borderId="3" applyNumberFormat="0" applyAlignment="0" applyProtection="0">
      <alignment vertical="center"/>
    </xf>
    <xf numFmtId="0" fontId="93" fillId="22" borderId="3" applyNumberFormat="0" applyAlignment="0" applyProtection="0">
      <alignment vertical="center"/>
    </xf>
    <xf numFmtId="0" fontId="93" fillId="22" borderId="3" applyNumberFormat="0" applyAlignment="0" applyProtection="0">
      <alignment vertical="center"/>
    </xf>
    <xf numFmtId="0" fontId="93" fillId="22" borderId="3" applyNumberFormat="0" applyAlignment="0" applyProtection="0">
      <alignment vertical="center"/>
    </xf>
    <xf numFmtId="0" fontId="94" fillId="26" borderId="0" applyNumberFormat="0" applyBorder="0" applyAlignment="0" applyProtection="0">
      <alignment vertical="center"/>
    </xf>
    <xf numFmtId="0" fontId="94" fillId="26" borderId="0" applyNumberFormat="0" applyBorder="0" applyAlignment="0" applyProtection="0">
      <alignment vertical="center"/>
    </xf>
    <xf numFmtId="0" fontId="94" fillId="26" borderId="0" applyNumberFormat="0" applyBorder="0" applyAlignment="0" applyProtection="0">
      <alignment vertical="center"/>
    </xf>
    <xf numFmtId="0" fontId="94" fillId="26" borderId="0" applyNumberFormat="0" applyBorder="0" applyAlignment="0" applyProtection="0">
      <alignment vertical="center"/>
    </xf>
    <xf numFmtId="0" fontId="94" fillId="26" borderId="0" applyNumberFormat="0" applyBorder="0" applyAlignment="0" applyProtection="0">
      <alignment vertical="center"/>
    </xf>
    <xf numFmtId="0" fontId="94" fillId="26" borderId="0" applyNumberFormat="0" applyBorder="0" applyAlignment="0" applyProtection="0">
      <alignment vertical="center"/>
    </xf>
    <xf numFmtId="0" fontId="94" fillId="26" borderId="0" applyNumberFormat="0" applyBorder="0" applyAlignment="0" applyProtection="0">
      <alignment vertical="center"/>
    </xf>
    <xf numFmtId="0" fontId="94" fillId="26" borderId="0" applyNumberFormat="0" applyBorder="0" applyAlignment="0" applyProtection="0">
      <alignment vertical="center"/>
    </xf>
    <xf numFmtId="0" fontId="94" fillId="26" borderId="0" applyNumberFormat="0" applyBorder="0" applyAlignment="0" applyProtection="0">
      <alignment vertical="center"/>
    </xf>
    <xf numFmtId="0" fontId="94" fillId="26" borderId="0" applyNumberFormat="0" applyBorder="0" applyAlignment="0" applyProtection="0">
      <alignment vertical="center"/>
    </xf>
    <xf numFmtId="0" fontId="94" fillId="26" borderId="0" applyNumberFormat="0" applyBorder="0" applyAlignment="0" applyProtection="0">
      <alignment vertical="center"/>
    </xf>
    <xf numFmtId="0" fontId="94" fillId="26" borderId="0" applyNumberFormat="0" applyBorder="0" applyAlignment="0" applyProtection="0">
      <alignment vertical="center"/>
    </xf>
    <xf numFmtId="0" fontId="94" fillId="26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13" fillId="27" borderId="14" applyNumberFormat="0" applyFont="0" applyAlignment="0" applyProtection="0">
      <alignment vertical="center"/>
    </xf>
    <xf numFmtId="0" fontId="95" fillId="0" borderId="11" applyNumberFormat="0" applyFill="0" applyAlignment="0" applyProtection="0">
      <alignment vertical="center"/>
    </xf>
    <xf numFmtId="0" fontId="95" fillId="0" borderId="11" applyNumberFormat="0" applyFill="0" applyAlignment="0" applyProtection="0">
      <alignment vertical="center"/>
    </xf>
    <xf numFmtId="0" fontId="95" fillId="0" borderId="11" applyNumberFormat="0" applyFill="0" applyAlignment="0" applyProtection="0">
      <alignment vertical="center"/>
    </xf>
    <xf numFmtId="0" fontId="95" fillId="0" borderId="11" applyNumberFormat="0" applyFill="0" applyAlignment="0" applyProtection="0">
      <alignment vertical="center"/>
    </xf>
    <xf numFmtId="0" fontId="95" fillId="0" borderId="11" applyNumberFormat="0" applyFill="0" applyAlignment="0" applyProtection="0">
      <alignment vertical="center"/>
    </xf>
    <xf numFmtId="0" fontId="95" fillId="0" borderId="11" applyNumberFormat="0" applyFill="0" applyAlignment="0" applyProtection="0">
      <alignment vertical="center"/>
    </xf>
    <xf numFmtId="0" fontId="95" fillId="0" borderId="11" applyNumberFormat="0" applyFill="0" applyAlignment="0" applyProtection="0">
      <alignment vertical="center"/>
    </xf>
    <xf numFmtId="0" fontId="95" fillId="0" borderId="11" applyNumberFormat="0" applyFill="0" applyAlignment="0" applyProtection="0">
      <alignment vertical="center"/>
    </xf>
    <xf numFmtId="0" fontId="95" fillId="0" borderId="11" applyNumberFormat="0" applyFill="0" applyAlignment="0" applyProtection="0">
      <alignment vertical="center"/>
    </xf>
    <xf numFmtId="0" fontId="95" fillId="0" borderId="11" applyNumberFormat="0" applyFill="0" applyAlignment="0" applyProtection="0">
      <alignment vertical="center"/>
    </xf>
    <xf numFmtId="0" fontId="95" fillId="0" borderId="11" applyNumberFormat="0" applyFill="0" applyAlignment="0" applyProtection="0">
      <alignment vertical="center"/>
    </xf>
    <xf numFmtId="0" fontId="95" fillId="0" borderId="11" applyNumberFormat="0" applyFill="0" applyAlignment="0" applyProtection="0">
      <alignment vertical="center"/>
    </xf>
    <xf numFmtId="0" fontId="95" fillId="0" borderId="11" applyNumberFormat="0" applyFill="0" applyAlignment="0" applyProtection="0">
      <alignment vertical="center"/>
    </xf>
    <xf numFmtId="0" fontId="95" fillId="0" borderId="11" applyNumberFormat="0" applyFill="0" applyAlignment="0" applyProtection="0">
      <alignment vertical="center"/>
    </xf>
    <xf numFmtId="0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11" fillId="0" borderId="0">
      <alignment vertical="center"/>
    </xf>
    <xf numFmtId="40" fontId="97" fillId="0" borderId="0" applyFont="0" applyFill="0" applyBorder="0" applyAlignment="0" applyProtection="0"/>
    <xf numFmtId="38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9" fontId="98" fillId="0" borderId="0" applyFont="0" applyFill="0" applyBorder="0" applyAlignment="0" applyProtection="0"/>
    <xf numFmtId="0" fontId="99" fillId="0" borderId="0"/>
    <xf numFmtId="0" fontId="7" fillId="0" borderId="0" applyFont="0" applyFill="0" applyBorder="0" applyAlignment="0" applyProtection="0"/>
    <xf numFmtId="222" fontId="13" fillId="0" borderId="0" applyFont="0" applyFill="0" applyBorder="0" applyAlignment="0" applyProtection="0"/>
    <xf numFmtId="223" fontId="100" fillId="0" borderId="0" applyFont="0" applyFill="0" applyBorder="0" applyAlignment="0" applyProtection="0"/>
    <xf numFmtId="224" fontId="100" fillId="0" borderId="0" applyFont="0" applyFill="0" applyBorder="0" applyAlignment="0" applyProtection="0"/>
    <xf numFmtId="0" fontId="101" fillId="0" borderId="0"/>
    <xf numFmtId="0" fontId="61" fillId="0" borderId="0"/>
    <xf numFmtId="0" fontId="102" fillId="8" borderId="1" applyNumberFormat="0" applyAlignment="0" applyProtection="0">
      <alignment vertical="center"/>
    </xf>
    <xf numFmtId="0" fontId="102" fillId="8" borderId="1" applyNumberFormat="0" applyAlignment="0" applyProtection="0">
      <alignment vertical="center"/>
    </xf>
    <xf numFmtId="0" fontId="102" fillId="8" borderId="1" applyNumberFormat="0" applyAlignment="0" applyProtection="0">
      <alignment vertical="center"/>
    </xf>
    <xf numFmtId="0" fontId="102" fillId="8" borderId="1" applyNumberFormat="0" applyAlignment="0" applyProtection="0">
      <alignment vertical="center"/>
    </xf>
    <xf numFmtId="0" fontId="102" fillId="8" borderId="1" applyNumberFormat="0" applyAlignment="0" applyProtection="0">
      <alignment vertical="center"/>
    </xf>
    <xf numFmtId="0" fontId="102" fillId="8" borderId="1" applyNumberFormat="0" applyAlignment="0" applyProtection="0">
      <alignment vertical="center"/>
    </xf>
    <xf numFmtId="0" fontId="102" fillId="8" borderId="1" applyNumberFormat="0" applyAlignment="0" applyProtection="0">
      <alignment vertical="center"/>
    </xf>
    <xf numFmtId="0" fontId="102" fillId="8" borderId="1" applyNumberFormat="0" applyAlignment="0" applyProtection="0">
      <alignment vertical="center"/>
    </xf>
    <xf numFmtId="0" fontId="102" fillId="8" borderId="1" applyNumberFormat="0" applyAlignment="0" applyProtection="0">
      <alignment vertical="center"/>
    </xf>
    <xf numFmtId="0" fontId="102" fillId="8" borderId="1" applyNumberFormat="0" applyAlignment="0" applyProtection="0">
      <alignment vertical="center"/>
    </xf>
    <xf numFmtId="0" fontId="102" fillId="8" borderId="1" applyNumberFormat="0" applyAlignment="0" applyProtection="0">
      <alignment vertical="center"/>
    </xf>
    <xf numFmtId="0" fontId="102" fillId="8" borderId="1" applyNumberFormat="0" applyAlignment="0" applyProtection="0">
      <alignment vertical="center"/>
    </xf>
    <xf numFmtId="0" fontId="102" fillId="8" borderId="1" applyNumberFormat="0" applyAlignment="0" applyProtection="0">
      <alignment vertical="center"/>
    </xf>
    <xf numFmtId="0" fontId="102" fillId="8" borderId="1" applyNumberFormat="0" applyAlignment="0" applyProtection="0">
      <alignment vertical="center"/>
    </xf>
    <xf numFmtId="0" fontId="103" fillId="21" borderId="15" applyNumberFormat="0" applyAlignment="0" applyProtection="0">
      <alignment vertical="center"/>
    </xf>
    <xf numFmtId="0" fontId="103" fillId="21" borderId="15" applyNumberFormat="0" applyAlignment="0" applyProtection="0">
      <alignment vertical="center"/>
    </xf>
    <xf numFmtId="0" fontId="103" fillId="21" borderId="15" applyNumberFormat="0" applyAlignment="0" applyProtection="0">
      <alignment vertical="center"/>
    </xf>
    <xf numFmtId="0" fontId="103" fillId="21" borderId="15" applyNumberFormat="0" applyAlignment="0" applyProtection="0">
      <alignment vertical="center"/>
    </xf>
    <xf numFmtId="0" fontId="103" fillId="21" borderId="15" applyNumberFormat="0" applyAlignment="0" applyProtection="0">
      <alignment vertical="center"/>
    </xf>
    <xf numFmtId="0" fontId="103" fillId="21" borderId="15" applyNumberFormat="0" applyAlignment="0" applyProtection="0">
      <alignment vertical="center"/>
    </xf>
    <xf numFmtId="0" fontId="103" fillId="21" borderId="15" applyNumberFormat="0" applyAlignment="0" applyProtection="0">
      <alignment vertical="center"/>
    </xf>
    <xf numFmtId="0" fontId="103" fillId="21" borderId="15" applyNumberFormat="0" applyAlignment="0" applyProtection="0">
      <alignment vertical="center"/>
    </xf>
    <xf numFmtId="0" fontId="103" fillId="21" borderId="15" applyNumberFormat="0" applyAlignment="0" applyProtection="0">
      <alignment vertical="center"/>
    </xf>
    <xf numFmtId="0" fontId="103" fillId="21" borderId="15" applyNumberFormat="0" applyAlignment="0" applyProtection="0">
      <alignment vertical="center"/>
    </xf>
    <xf numFmtId="0" fontId="103" fillId="21" borderId="15" applyNumberFormat="0" applyAlignment="0" applyProtection="0">
      <alignment vertical="center"/>
    </xf>
    <xf numFmtId="0" fontId="103" fillId="21" borderId="15" applyNumberFormat="0" applyAlignment="0" applyProtection="0">
      <alignment vertical="center"/>
    </xf>
    <xf numFmtId="0" fontId="103" fillId="21" borderId="15" applyNumberFormat="0" applyAlignment="0" applyProtection="0">
      <alignment vertical="center"/>
    </xf>
    <xf numFmtId="0" fontId="103" fillId="21" borderId="15" applyNumberFormat="0" applyAlignment="0" applyProtection="0">
      <alignment vertical="center"/>
    </xf>
    <xf numFmtId="41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0" fontId="105" fillId="4" borderId="0" applyNumberFormat="0" applyBorder="0" applyAlignment="0" applyProtection="0">
      <alignment vertical="center"/>
    </xf>
    <xf numFmtId="0" fontId="105" fillId="4" borderId="0" applyNumberFormat="0" applyBorder="0" applyAlignment="0" applyProtection="0">
      <alignment vertical="center"/>
    </xf>
    <xf numFmtId="0" fontId="105" fillId="4" borderId="0" applyNumberFormat="0" applyBorder="0" applyAlignment="0" applyProtection="0">
      <alignment vertical="center"/>
    </xf>
    <xf numFmtId="0" fontId="105" fillId="4" borderId="0" applyNumberFormat="0" applyBorder="0" applyAlignment="0" applyProtection="0">
      <alignment vertical="center"/>
    </xf>
    <xf numFmtId="0" fontId="105" fillId="4" borderId="0" applyNumberFormat="0" applyBorder="0" applyAlignment="0" applyProtection="0">
      <alignment vertical="center"/>
    </xf>
    <xf numFmtId="0" fontId="105" fillId="4" borderId="0" applyNumberFormat="0" applyBorder="0" applyAlignment="0" applyProtection="0">
      <alignment vertical="center"/>
    </xf>
    <xf numFmtId="0" fontId="105" fillId="4" borderId="0" applyNumberFormat="0" applyBorder="0" applyAlignment="0" applyProtection="0">
      <alignment vertical="center"/>
    </xf>
    <xf numFmtId="0" fontId="105" fillId="4" borderId="0" applyNumberFormat="0" applyBorder="0" applyAlignment="0" applyProtection="0">
      <alignment vertical="center"/>
    </xf>
    <xf numFmtId="0" fontId="105" fillId="4" borderId="0" applyNumberFormat="0" applyBorder="0" applyAlignment="0" applyProtection="0">
      <alignment vertical="center"/>
    </xf>
    <xf numFmtId="0" fontId="105" fillId="4" borderId="0" applyNumberFormat="0" applyBorder="0" applyAlignment="0" applyProtection="0">
      <alignment vertical="center"/>
    </xf>
    <xf numFmtId="0" fontId="105" fillId="4" borderId="0" applyNumberFormat="0" applyBorder="0" applyAlignment="0" applyProtection="0">
      <alignment vertical="center"/>
    </xf>
    <xf numFmtId="0" fontId="105" fillId="4" borderId="0" applyNumberFormat="0" applyBorder="0" applyAlignment="0" applyProtection="0">
      <alignment vertical="center"/>
    </xf>
    <xf numFmtId="0" fontId="105" fillId="4" borderId="0" applyNumberFormat="0" applyBorder="0" applyAlignment="0" applyProtection="0">
      <alignment vertical="center"/>
    </xf>
    <xf numFmtId="186" fontId="7" fillId="0" borderId="0" applyFill="0" applyBorder="0" applyAlignment="0" applyProtection="0"/>
    <xf numFmtId="167" fontId="13" fillId="0" borderId="0" applyFont="0" applyFill="0" applyBorder="0" applyAlignment="0" applyProtection="0"/>
    <xf numFmtId="38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63" fillId="0" borderId="0"/>
    <xf numFmtId="0" fontId="106" fillId="5" borderId="0" applyNumberFormat="0" applyBorder="0" applyAlignment="0" applyProtection="0">
      <alignment vertical="center"/>
    </xf>
    <xf numFmtId="0" fontId="106" fillId="5" borderId="0" applyNumberFormat="0" applyBorder="0" applyAlignment="0" applyProtection="0">
      <alignment vertical="center"/>
    </xf>
    <xf numFmtId="0" fontId="106" fillId="5" borderId="0" applyNumberFormat="0" applyBorder="0" applyAlignment="0" applyProtection="0">
      <alignment vertical="center"/>
    </xf>
    <xf numFmtId="0" fontId="106" fillId="5" borderId="0" applyNumberFormat="0" applyBorder="0" applyAlignment="0" applyProtection="0">
      <alignment vertical="center"/>
    </xf>
    <xf numFmtId="0" fontId="106" fillId="5" borderId="0" applyNumberFormat="0" applyBorder="0" applyAlignment="0" applyProtection="0">
      <alignment vertical="center"/>
    </xf>
    <xf numFmtId="0" fontId="106" fillId="5" borderId="0" applyNumberFormat="0" applyBorder="0" applyAlignment="0" applyProtection="0">
      <alignment vertical="center"/>
    </xf>
    <xf numFmtId="0" fontId="106" fillId="5" borderId="0" applyNumberFormat="0" applyBorder="0" applyAlignment="0" applyProtection="0">
      <alignment vertical="center"/>
    </xf>
    <xf numFmtId="0" fontId="106" fillId="5" borderId="0" applyNumberFormat="0" applyBorder="0" applyAlignment="0" applyProtection="0">
      <alignment vertical="center"/>
    </xf>
    <xf numFmtId="0" fontId="106" fillId="5" borderId="0" applyNumberFormat="0" applyBorder="0" applyAlignment="0" applyProtection="0">
      <alignment vertical="center"/>
    </xf>
    <xf numFmtId="0" fontId="106" fillId="5" borderId="0" applyNumberFormat="0" applyBorder="0" applyAlignment="0" applyProtection="0">
      <alignment vertical="center"/>
    </xf>
    <xf numFmtId="0" fontId="106" fillId="5" borderId="0" applyNumberFormat="0" applyBorder="0" applyAlignment="0" applyProtection="0">
      <alignment vertical="center"/>
    </xf>
    <xf numFmtId="0" fontId="106" fillId="5" borderId="0" applyNumberFormat="0" applyBorder="0" applyAlignment="0" applyProtection="0">
      <alignment vertical="center"/>
    </xf>
    <xf numFmtId="0" fontId="106" fillId="5" borderId="0" applyNumberFormat="0" applyBorder="0" applyAlignment="0" applyProtection="0">
      <alignment vertical="center"/>
    </xf>
    <xf numFmtId="0" fontId="107" fillId="0" borderId="8" applyNumberFormat="0" applyFill="0" applyAlignment="0" applyProtection="0">
      <alignment vertical="center"/>
    </xf>
    <xf numFmtId="0" fontId="107" fillId="0" borderId="8" applyNumberFormat="0" applyFill="0" applyAlignment="0" applyProtection="0">
      <alignment vertical="center"/>
    </xf>
    <xf numFmtId="0" fontId="107" fillId="0" borderId="8" applyNumberFormat="0" applyFill="0" applyAlignment="0" applyProtection="0">
      <alignment vertical="center"/>
    </xf>
    <xf numFmtId="0" fontId="107" fillId="0" borderId="8" applyNumberFormat="0" applyFill="0" applyAlignment="0" applyProtection="0">
      <alignment vertical="center"/>
    </xf>
    <xf numFmtId="0" fontId="107" fillId="0" borderId="8" applyNumberFormat="0" applyFill="0" applyAlignment="0" applyProtection="0">
      <alignment vertical="center"/>
    </xf>
    <xf numFmtId="0" fontId="107" fillId="0" borderId="8" applyNumberFormat="0" applyFill="0" applyAlignment="0" applyProtection="0">
      <alignment vertical="center"/>
    </xf>
    <xf numFmtId="0" fontId="107" fillId="0" borderId="8" applyNumberFormat="0" applyFill="0" applyAlignment="0" applyProtection="0">
      <alignment vertical="center"/>
    </xf>
    <xf numFmtId="0" fontId="107" fillId="0" borderId="8" applyNumberFormat="0" applyFill="0" applyAlignment="0" applyProtection="0">
      <alignment vertical="center"/>
    </xf>
    <xf numFmtId="0" fontId="107" fillId="0" borderId="8" applyNumberFormat="0" applyFill="0" applyAlignment="0" applyProtection="0">
      <alignment vertical="center"/>
    </xf>
    <xf numFmtId="0" fontId="107" fillId="0" borderId="8" applyNumberFormat="0" applyFill="0" applyAlignment="0" applyProtection="0">
      <alignment vertical="center"/>
    </xf>
    <xf numFmtId="0" fontId="107" fillId="0" borderId="8" applyNumberFormat="0" applyFill="0" applyAlignment="0" applyProtection="0">
      <alignment vertical="center"/>
    </xf>
    <xf numFmtId="0" fontId="107" fillId="0" borderId="8" applyNumberFormat="0" applyFill="0" applyAlignment="0" applyProtection="0">
      <alignment vertical="center"/>
    </xf>
    <xf numFmtId="0" fontId="107" fillId="0" borderId="8" applyNumberFormat="0" applyFill="0" applyAlignment="0" applyProtection="0">
      <alignment vertical="center"/>
    </xf>
    <xf numFmtId="0" fontId="107" fillId="0" borderId="8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9" fillId="0" borderId="10" applyNumberFormat="0" applyFill="0" applyAlignment="0" applyProtection="0">
      <alignment vertical="center"/>
    </xf>
    <xf numFmtId="0" fontId="109" fillId="0" borderId="10" applyNumberFormat="0" applyFill="0" applyAlignment="0" applyProtection="0">
      <alignment vertical="center"/>
    </xf>
    <xf numFmtId="0" fontId="109" fillId="0" borderId="10" applyNumberFormat="0" applyFill="0" applyAlignment="0" applyProtection="0">
      <alignment vertical="center"/>
    </xf>
    <xf numFmtId="0" fontId="109" fillId="0" borderId="10" applyNumberFormat="0" applyFill="0" applyAlignment="0" applyProtection="0">
      <alignment vertical="center"/>
    </xf>
    <xf numFmtId="0" fontId="109" fillId="0" borderId="10" applyNumberFormat="0" applyFill="0" applyAlignment="0" applyProtection="0">
      <alignment vertical="center"/>
    </xf>
    <xf numFmtId="0" fontId="109" fillId="0" borderId="10" applyNumberFormat="0" applyFill="0" applyAlignment="0" applyProtection="0">
      <alignment vertical="center"/>
    </xf>
    <xf numFmtId="0" fontId="109" fillId="0" borderId="10" applyNumberFormat="0" applyFill="0" applyAlignment="0" applyProtection="0">
      <alignment vertical="center"/>
    </xf>
    <xf numFmtId="0" fontId="109" fillId="0" borderId="10" applyNumberFormat="0" applyFill="0" applyAlignment="0" applyProtection="0">
      <alignment vertical="center"/>
    </xf>
    <xf numFmtId="0" fontId="109" fillId="0" borderId="10" applyNumberFormat="0" applyFill="0" applyAlignment="0" applyProtection="0">
      <alignment vertical="center"/>
    </xf>
    <xf numFmtId="0" fontId="109" fillId="0" borderId="10" applyNumberFormat="0" applyFill="0" applyAlignment="0" applyProtection="0">
      <alignment vertical="center"/>
    </xf>
    <xf numFmtId="0" fontId="109" fillId="0" borderId="10" applyNumberFormat="0" applyFill="0" applyAlignment="0" applyProtection="0">
      <alignment vertical="center"/>
    </xf>
    <xf numFmtId="0" fontId="109" fillId="0" borderId="10" applyNumberFormat="0" applyFill="0" applyAlignment="0" applyProtection="0">
      <alignment vertical="center"/>
    </xf>
    <xf numFmtId="0" fontId="109" fillId="0" borderId="10" applyNumberFormat="0" applyFill="0" applyAlignment="0" applyProtection="0">
      <alignment vertical="center"/>
    </xf>
    <xf numFmtId="0" fontId="109" fillId="0" borderId="10" applyNumberFormat="0" applyFill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10" fillId="21" borderId="1" applyNumberFormat="0" applyAlignment="0" applyProtection="0">
      <alignment vertical="center"/>
    </xf>
    <xf numFmtId="0" fontId="110" fillId="21" borderId="1" applyNumberFormat="0" applyAlignment="0" applyProtection="0">
      <alignment vertical="center"/>
    </xf>
    <xf numFmtId="0" fontId="110" fillId="21" borderId="1" applyNumberFormat="0" applyAlignment="0" applyProtection="0">
      <alignment vertical="center"/>
    </xf>
    <xf numFmtId="0" fontId="110" fillId="21" borderId="1" applyNumberFormat="0" applyAlignment="0" applyProtection="0">
      <alignment vertical="center"/>
    </xf>
    <xf numFmtId="0" fontId="110" fillId="21" borderId="1" applyNumberFormat="0" applyAlignment="0" applyProtection="0">
      <alignment vertical="center"/>
    </xf>
    <xf numFmtId="0" fontId="110" fillId="21" borderId="1" applyNumberFormat="0" applyAlignment="0" applyProtection="0">
      <alignment vertical="center"/>
    </xf>
    <xf numFmtId="0" fontId="110" fillId="21" borderId="1" applyNumberFormat="0" applyAlignment="0" applyProtection="0">
      <alignment vertical="center"/>
    </xf>
    <xf numFmtId="0" fontId="110" fillId="21" borderId="1" applyNumberFormat="0" applyAlignment="0" applyProtection="0">
      <alignment vertical="center"/>
    </xf>
    <xf numFmtId="0" fontId="110" fillId="21" borderId="1" applyNumberFormat="0" applyAlignment="0" applyProtection="0">
      <alignment vertical="center"/>
    </xf>
    <xf numFmtId="0" fontId="110" fillId="21" borderId="1" applyNumberFormat="0" applyAlignment="0" applyProtection="0">
      <alignment vertical="center"/>
    </xf>
    <xf numFmtId="0" fontId="110" fillId="21" borderId="1" applyNumberFormat="0" applyAlignment="0" applyProtection="0">
      <alignment vertical="center"/>
    </xf>
    <xf numFmtId="0" fontId="110" fillId="21" borderId="1" applyNumberFormat="0" applyAlignment="0" applyProtection="0">
      <alignment vertical="center"/>
    </xf>
    <xf numFmtId="0" fontId="110" fillId="21" borderId="1" applyNumberFormat="0" applyAlignment="0" applyProtection="0">
      <alignment vertical="center"/>
    </xf>
    <xf numFmtId="0" fontId="110" fillId="21" borderId="1" applyNumberFormat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179" fontId="104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04" fillId="0" borderId="0" applyFont="0" applyFill="0" applyBorder="0" applyAlignment="0" applyProtection="0"/>
    <xf numFmtId="0" fontId="113" fillId="0" borderId="21" applyNumberFormat="0" applyFill="0" applyAlignment="0" applyProtection="0">
      <alignment vertical="center"/>
    </xf>
    <xf numFmtId="0" fontId="113" fillId="0" borderId="21" applyNumberFormat="0" applyFill="0" applyAlignment="0" applyProtection="0">
      <alignment vertical="center"/>
    </xf>
    <xf numFmtId="0" fontId="113" fillId="0" borderId="21" applyNumberFormat="0" applyFill="0" applyAlignment="0" applyProtection="0">
      <alignment vertical="center"/>
    </xf>
    <xf numFmtId="0" fontId="113" fillId="0" borderId="21" applyNumberFormat="0" applyFill="0" applyAlignment="0" applyProtection="0">
      <alignment vertical="center"/>
    </xf>
    <xf numFmtId="0" fontId="113" fillId="0" borderId="21" applyNumberFormat="0" applyFill="0" applyAlignment="0" applyProtection="0">
      <alignment vertical="center"/>
    </xf>
    <xf numFmtId="0" fontId="113" fillId="0" borderId="21" applyNumberFormat="0" applyFill="0" applyAlignment="0" applyProtection="0">
      <alignment vertical="center"/>
    </xf>
    <xf numFmtId="0" fontId="113" fillId="0" borderId="21" applyNumberFormat="0" applyFill="0" applyAlignment="0" applyProtection="0">
      <alignment vertical="center"/>
    </xf>
    <xf numFmtId="0" fontId="113" fillId="0" borderId="21" applyNumberFormat="0" applyFill="0" applyAlignment="0" applyProtection="0">
      <alignment vertical="center"/>
    </xf>
    <xf numFmtId="0" fontId="113" fillId="0" borderId="21" applyNumberFormat="0" applyFill="0" applyAlignment="0" applyProtection="0">
      <alignment vertical="center"/>
    </xf>
    <xf numFmtId="0" fontId="113" fillId="0" borderId="21" applyNumberFormat="0" applyFill="0" applyAlignment="0" applyProtection="0">
      <alignment vertical="center"/>
    </xf>
    <xf numFmtId="0" fontId="113" fillId="0" borderId="21" applyNumberFormat="0" applyFill="0" applyAlignment="0" applyProtection="0">
      <alignment vertical="center"/>
    </xf>
    <xf numFmtId="0" fontId="113" fillId="0" borderId="21" applyNumberFormat="0" applyFill="0" applyAlignment="0" applyProtection="0">
      <alignment vertical="center"/>
    </xf>
    <xf numFmtId="0" fontId="113" fillId="0" borderId="21" applyNumberFormat="0" applyFill="0" applyAlignment="0" applyProtection="0">
      <alignment vertical="center"/>
    </xf>
    <xf numFmtId="0" fontId="113" fillId="0" borderId="21" applyNumberFormat="0" applyFill="0" applyAlignment="0" applyProtection="0">
      <alignment vertical="center"/>
    </xf>
    <xf numFmtId="0" fontId="65" fillId="0" borderId="0"/>
  </cellStyleXfs>
  <cellXfs count="80">
    <xf numFmtId="0" fontId="0" fillId="0" borderId="0" xfId="0"/>
    <xf numFmtId="169" fontId="121" fillId="0" borderId="0" xfId="671" applyFont="1"/>
    <xf numFmtId="9" fontId="121" fillId="0" borderId="0" xfId="2617" applyFont="1"/>
    <xf numFmtId="0" fontId="7" fillId="48" borderId="0" xfId="0" applyFont="1" applyFill="1"/>
    <xf numFmtId="0" fontId="42" fillId="48" borderId="0" xfId="0" applyFont="1" applyFill="1"/>
    <xf numFmtId="170" fontId="42" fillId="48" borderId="0" xfId="671" applyNumberFormat="1" applyFont="1" applyFill="1"/>
    <xf numFmtId="0" fontId="7" fillId="48" borderId="0" xfId="0" applyFont="1" applyFill="1" applyAlignment="1">
      <alignment horizontal="center" vertical="center"/>
    </xf>
    <xf numFmtId="0" fontId="7" fillId="46" borderId="25" xfId="1936" applyFont="1" applyFill="1" applyBorder="1"/>
    <xf numFmtId="0" fontId="7" fillId="46" borderId="26" xfId="1936" applyFont="1" applyFill="1" applyBorder="1"/>
    <xf numFmtId="0" fontId="7" fillId="46" borderId="27" xfId="1936" applyFont="1" applyFill="1" applyBorder="1"/>
    <xf numFmtId="0" fontId="7" fillId="46" borderId="0" xfId="1936" applyFont="1" applyFill="1"/>
    <xf numFmtId="0" fontId="7" fillId="46" borderId="28" xfId="2584" applyFont="1" applyFill="1" applyBorder="1"/>
    <xf numFmtId="0" fontId="7" fillId="46" borderId="0" xfId="1936" applyFont="1" applyFill="1" applyBorder="1"/>
    <xf numFmtId="0" fontId="7" fillId="46" borderId="4" xfId="1936" applyFont="1" applyFill="1" applyBorder="1"/>
    <xf numFmtId="0" fontId="48" fillId="46" borderId="0" xfId="1936" applyFont="1" applyFill="1" applyBorder="1"/>
    <xf numFmtId="0" fontId="7" fillId="46" borderId="28" xfId="1936" applyFont="1" applyFill="1" applyBorder="1"/>
    <xf numFmtId="0" fontId="118" fillId="46" borderId="0" xfId="1936" applyFont="1" applyFill="1" applyBorder="1" applyAlignment="1">
      <alignment horizontal="center"/>
    </xf>
    <xf numFmtId="0" fontId="115" fillId="46" borderId="28" xfId="1936" applyFont="1" applyFill="1" applyBorder="1" applyAlignment="1">
      <alignment horizontal="center"/>
    </xf>
    <xf numFmtId="0" fontId="115" fillId="46" borderId="0" xfId="1936" applyFont="1" applyFill="1" applyBorder="1" applyAlignment="1">
      <alignment horizontal="center"/>
    </xf>
    <xf numFmtId="0" fontId="7" fillId="46" borderId="29" xfId="1936" applyFont="1" applyFill="1" applyBorder="1"/>
    <xf numFmtId="0" fontId="7" fillId="46" borderId="16" xfId="1936" applyFont="1" applyFill="1" applyBorder="1"/>
    <xf numFmtId="0" fontId="7" fillId="46" borderId="30" xfId="1936" applyFont="1" applyFill="1" applyBorder="1"/>
    <xf numFmtId="0" fontId="104" fillId="48" borderId="0" xfId="0" applyFont="1" applyFill="1"/>
    <xf numFmtId="0" fontId="42" fillId="48" borderId="0" xfId="0" applyFont="1" applyFill="1" applyAlignment="1">
      <alignment horizontal="center" vertical="center"/>
    </xf>
    <xf numFmtId="226" fontId="42" fillId="48" borderId="0" xfId="0" applyNumberFormat="1" applyFont="1" applyFill="1" applyAlignment="1">
      <alignment horizontal="center" vertical="center"/>
    </xf>
    <xf numFmtId="0" fontId="7" fillId="48" borderId="0" xfId="0" quotePrefix="1" applyFont="1" applyFill="1"/>
    <xf numFmtId="0" fontId="42" fillId="2" borderId="27" xfId="1936" applyFont="1" applyFill="1" applyBorder="1" applyAlignment="1">
      <alignment horizontal="center" vertical="center"/>
    </xf>
    <xf numFmtId="0" fontId="42" fillId="2" borderId="23" xfId="1936" applyFont="1" applyFill="1" applyBorder="1" applyAlignment="1">
      <alignment horizontal="center" vertical="center"/>
    </xf>
    <xf numFmtId="225" fontId="42" fillId="2" borderId="23" xfId="1936" applyNumberFormat="1" applyFont="1" applyFill="1" applyBorder="1" applyAlignment="1">
      <alignment horizontal="center" vertical="center"/>
    </xf>
    <xf numFmtId="225" fontId="42" fillId="2" borderId="25" xfId="1936" applyNumberFormat="1" applyFont="1" applyFill="1" applyBorder="1" applyAlignment="1">
      <alignment horizontal="center" vertical="center"/>
    </xf>
    <xf numFmtId="0" fontId="117" fillId="46" borderId="28" xfId="1936" applyFont="1" applyFill="1" applyBorder="1" applyAlignment="1">
      <alignment horizontal="center"/>
    </xf>
    <xf numFmtId="0" fontId="117" fillId="46" borderId="0" xfId="1936" applyFont="1" applyFill="1" applyBorder="1" applyAlignment="1">
      <alignment horizontal="center"/>
    </xf>
    <xf numFmtId="0" fontId="117" fillId="46" borderId="4" xfId="1936" applyFont="1" applyFill="1" applyBorder="1" applyAlignment="1">
      <alignment horizontal="center"/>
    </xf>
    <xf numFmtId="0" fontId="119" fillId="46" borderId="28" xfId="1936" applyFont="1" applyFill="1" applyBorder="1" applyAlignment="1">
      <alignment horizontal="center"/>
    </xf>
    <xf numFmtId="0" fontId="119" fillId="46" borderId="0" xfId="1936" applyFont="1" applyFill="1" applyBorder="1" applyAlignment="1">
      <alignment horizontal="center"/>
    </xf>
    <xf numFmtId="0" fontId="119" fillId="46" borderId="4" xfId="1936" applyFont="1" applyFill="1" applyBorder="1" applyAlignment="1">
      <alignment horizontal="center"/>
    </xf>
    <xf numFmtId="0" fontId="42" fillId="2" borderId="30" xfId="1936" applyFont="1" applyFill="1" applyBorder="1" applyAlignment="1">
      <alignment horizontal="center" vertical="center"/>
    </xf>
    <xf numFmtId="0" fontId="42" fillId="2" borderId="31" xfId="1936" applyFont="1" applyFill="1" applyBorder="1" applyAlignment="1">
      <alignment horizontal="center" vertical="center"/>
    </xf>
    <xf numFmtId="0" fontId="42" fillId="2" borderId="29" xfId="1936" applyFont="1" applyFill="1" applyBorder="1" applyAlignment="1">
      <alignment horizontal="center" vertical="center"/>
    </xf>
    <xf numFmtId="0" fontId="42" fillId="2" borderId="32" xfId="1936" applyFont="1" applyFill="1" applyBorder="1" applyAlignment="1">
      <alignment horizontal="center" vertical="center"/>
    </xf>
    <xf numFmtId="0" fontId="42" fillId="2" borderId="2" xfId="1936" applyFont="1" applyFill="1" applyBorder="1" applyAlignment="1">
      <alignment horizontal="center" vertical="center"/>
    </xf>
    <xf numFmtId="49" fontId="42" fillId="2" borderId="2" xfId="1936" applyNumberFormat="1" applyFont="1" applyFill="1" applyBorder="1" applyAlignment="1">
      <alignment horizontal="center" vertical="center"/>
    </xf>
    <xf numFmtId="49" fontId="42" fillId="2" borderId="20" xfId="1936" applyNumberFormat="1" applyFont="1" applyFill="1" applyBorder="1" applyAlignment="1">
      <alignment horizontal="center" vertical="center"/>
    </xf>
    <xf numFmtId="0" fontId="7" fillId="48" borderId="0" xfId="0" applyFont="1" applyFill="1" applyAlignment="1">
      <alignment horizontal="left" wrapText="1"/>
    </xf>
    <xf numFmtId="0" fontId="126" fillId="48" borderId="0" xfId="0" applyFont="1" applyFill="1" applyAlignment="1" applyProtection="1">
      <alignment horizontal="center" vertical="center"/>
    </xf>
    <xf numFmtId="0" fontId="127" fillId="48" borderId="0" xfId="0" applyFont="1" applyFill="1" applyAlignment="1" applyProtection="1">
      <alignment horizontal="center"/>
    </xf>
    <xf numFmtId="0" fontId="42" fillId="48" borderId="0" xfId="0" applyFont="1" applyFill="1" applyProtection="1"/>
    <xf numFmtId="0" fontId="42" fillId="48" borderId="0" xfId="0" applyFont="1" applyFill="1" applyAlignment="1" applyProtection="1">
      <alignment horizontal="center" vertical="center"/>
    </xf>
    <xf numFmtId="0" fontId="7" fillId="48" borderId="0" xfId="0" applyFont="1" applyFill="1" applyAlignment="1" applyProtection="1">
      <alignment horizontal="center" vertical="center"/>
    </xf>
    <xf numFmtId="0" fontId="7" fillId="48" borderId="0" xfId="0" applyFont="1" applyFill="1" applyProtection="1"/>
    <xf numFmtId="0" fontId="42" fillId="47" borderId="2" xfId="0" applyFont="1" applyFill="1" applyBorder="1" applyAlignment="1" applyProtection="1">
      <alignment horizontal="center" vertical="center" wrapText="1"/>
    </xf>
    <xf numFmtId="0" fontId="42" fillId="47" borderId="2" xfId="0" applyFont="1" applyFill="1" applyBorder="1" applyAlignment="1" applyProtection="1">
      <alignment horizontal="center" vertical="center" wrapText="1"/>
    </xf>
    <xf numFmtId="0" fontId="104" fillId="48" borderId="2" xfId="0" applyFont="1" applyFill="1" applyBorder="1" applyAlignment="1" applyProtection="1">
      <alignment horizontal="center" vertical="center"/>
    </xf>
    <xf numFmtId="0" fontId="104" fillId="48" borderId="2" xfId="0" applyFont="1" applyFill="1" applyBorder="1" applyAlignment="1" applyProtection="1">
      <alignment horizontal="left" vertical="center"/>
    </xf>
    <xf numFmtId="226" fontId="104" fillId="48" borderId="2" xfId="0" applyNumberFormat="1" applyFont="1" applyFill="1" applyBorder="1" applyAlignment="1" applyProtection="1">
      <alignment horizontal="center" vertical="center"/>
    </xf>
    <xf numFmtId="226" fontId="104" fillId="48" borderId="2" xfId="671" quotePrefix="1" applyNumberFormat="1" applyFont="1" applyFill="1" applyBorder="1" applyAlignment="1" applyProtection="1">
      <alignment horizontal="left" vertical="top" wrapText="1"/>
    </xf>
    <xf numFmtId="226" fontId="104" fillId="48" borderId="20" xfId="671" applyNumberFormat="1" applyFont="1" applyFill="1" applyBorder="1" applyAlignment="1" applyProtection="1">
      <alignment horizontal="left" vertical="top" wrapText="1"/>
    </xf>
    <xf numFmtId="226" fontId="104" fillId="48" borderId="20" xfId="671" quotePrefix="1" applyNumberFormat="1" applyFont="1" applyFill="1" applyBorder="1" applyAlignment="1" applyProtection="1">
      <alignment horizontal="left" vertical="top" wrapText="1"/>
    </xf>
    <xf numFmtId="0" fontId="104" fillId="48" borderId="20" xfId="0" quotePrefix="1" applyFont="1" applyFill="1" applyBorder="1" applyAlignment="1" applyProtection="1">
      <alignment horizontal="left" vertical="top" wrapText="1"/>
    </xf>
    <xf numFmtId="0" fontId="104" fillId="48" borderId="32" xfId="0" applyFont="1" applyFill="1" applyBorder="1" applyAlignment="1" applyProtection="1">
      <alignment horizontal="left" vertical="top" wrapText="1"/>
    </xf>
    <xf numFmtId="0" fontId="104" fillId="48" borderId="23" xfId="0" applyFont="1" applyFill="1" applyBorder="1" applyAlignment="1" applyProtection="1">
      <alignment horizontal="center" vertical="center"/>
    </xf>
    <xf numFmtId="0" fontId="104" fillId="48" borderId="20" xfId="0" quotePrefix="1" applyFont="1" applyFill="1" applyBorder="1" applyAlignment="1" applyProtection="1">
      <alignment horizontal="center" vertical="top" wrapText="1"/>
    </xf>
    <xf numFmtId="0" fontId="104" fillId="48" borderId="32" xfId="0" quotePrefix="1" applyFont="1" applyFill="1" applyBorder="1" applyAlignment="1" applyProtection="1">
      <alignment horizontal="center" vertical="top" wrapText="1"/>
    </xf>
    <xf numFmtId="0" fontId="104" fillId="48" borderId="20" xfId="0" quotePrefix="1" applyFont="1" applyFill="1" applyBorder="1" applyAlignment="1" applyProtection="1">
      <alignment horizontal="left" vertical="top" wrapText="1"/>
    </xf>
    <xf numFmtId="0" fontId="104" fillId="48" borderId="32" xfId="0" applyFont="1" applyFill="1" applyBorder="1" applyAlignment="1" applyProtection="1">
      <alignment horizontal="left" vertical="top" wrapText="1"/>
    </xf>
    <xf numFmtId="0" fontId="104" fillId="48" borderId="2" xfId="0" applyFont="1" applyFill="1" applyBorder="1" applyAlignment="1" applyProtection="1">
      <alignment horizontal="center" vertical="top"/>
    </xf>
    <xf numFmtId="0" fontId="104" fillId="48" borderId="2" xfId="0" applyFont="1" applyFill="1" applyBorder="1" applyAlignment="1" applyProtection="1">
      <alignment vertical="center" wrapText="1"/>
    </xf>
    <xf numFmtId="226" fontId="104" fillId="48" borderId="2" xfId="671" applyNumberFormat="1" applyFont="1" applyFill="1" applyBorder="1" applyAlignment="1" applyProtection="1">
      <alignment horizontal="center" vertical="top"/>
    </xf>
    <xf numFmtId="226" fontId="104" fillId="48" borderId="20" xfId="671" applyNumberFormat="1" applyFont="1" applyFill="1" applyBorder="1" applyAlignment="1" applyProtection="1">
      <alignment horizontal="center" vertical="top"/>
    </xf>
    <xf numFmtId="0" fontId="42" fillId="48" borderId="2" xfId="0" applyFont="1" applyFill="1" applyBorder="1" applyAlignment="1" applyProtection="1">
      <alignment horizontal="center"/>
    </xf>
    <xf numFmtId="226" fontId="42" fillId="48" borderId="2" xfId="0" applyNumberFormat="1" applyFont="1" applyFill="1" applyBorder="1" applyAlignment="1" applyProtection="1">
      <alignment horizontal="center" vertical="center"/>
    </xf>
    <xf numFmtId="0" fontId="42" fillId="48" borderId="2" xfId="0" applyFont="1" applyFill="1" applyBorder="1" applyAlignment="1" applyProtection="1">
      <alignment horizontal="center" vertical="center"/>
    </xf>
    <xf numFmtId="170" fontId="116" fillId="48" borderId="2" xfId="671" applyNumberFormat="1" applyFont="1" applyFill="1" applyBorder="1" applyProtection="1"/>
    <xf numFmtId="170" fontId="42" fillId="48" borderId="2" xfId="671" applyNumberFormat="1" applyFont="1" applyFill="1" applyBorder="1" applyProtection="1"/>
    <xf numFmtId="0" fontId="7" fillId="48" borderId="2" xfId="0" applyFont="1" applyFill="1" applyBorder="1" applyProtection="1"/>
    <xf numFmtId="0" fontId="42" fillId="48" borderId="2" xfId="0" applyFont="1" applyFill="1" applyBorder="1" applyProtection="1"/>
    <xf numFmtId="0" fontId="42" fillId="47" borderId="20" xfId="0" applyFont="1" applyFill="1" applyBorder="1" applyAlignment="1" applyProtection="1">
      <alignment horizontal="left" vertical="center" wrapText="1"/>
    </xf>
    <xf numFmtId="0" fontId="42" fillId="47" borderId="7" xfId="0" applyFont="1" applyFill="1" applyBorder="1" applyAlignment="1" applyProtection="1">
      <alignment horizontal="left" vertical="center" wrapText="1"/>
    </xf>
    <xf numFmtId="0" fontId="42" fillId="47" borderId="32" xfId="0" applyFont="1" applyFill="1" applyBorder="1" applyAlignment="1" applyProtection="1">
      <alignment horizontal="left" vertical="center" wrapText="1"/>
    </xf>
    <xf numFmtId="0" fontId="104" fillId="48" borderId="32" xfId="0" quotePrefix="1" applyFont="1" applyFill="1" applyBorder="1" applyAlignment="1" applyProtection="1">
      <alignment horizontal="left" vertical="top" wrapText="1"/>
    </xf>
  </cellXfs>
  <cellStyles count="3430">
    <cellStyle name="$" xfId="1" xr:uid="{00000000-0005-0000-0000-000000000000}"/>
    <cellStyle name="$m" xfId="2" xr:uid="{00000000-0005-0000-0000-000001000000}"/>
    <cellStyle name="$q" xfId="3" xr:uid="{00000000-0005-0000-0000-000002000000}"/>
    <cellStyle name="$q*" xfId="4" xr:uid="{00000000-0005-0000-0000-000003000000}"/>
    <cellStyle name="$qA" xfId="5" xr:uid="{00000000-0005-0000-0000-000004000000}"/>
    <cellStyle name="$qRange" xfId="6" xr:uid="{00000000-0005-0000-0000-000005000000}"/>
    <cellStyle name="??" xfId="7" xr:uid="{00000000-0005-0000-0000-000006000000}"/>
    <cellStyle name="?? [0.00]_ Att. 1- Cover" xfId="8" xr:uid="{00000000-0005-0000-0000-000007000000}"/>
    <cellStyle name="?? [0]" xfId="9" xr:uid="{00000000-0005-0000-0000-000008000000}"/>
    <cellStyle name="?_x001d_??%U©÷u&amp;H©÷9_x0008_? s_x000a__x0007__x0001__x0001_" xfId="10" xr:uid="{00000000-0005-0000-0000-000009000000}"/>
    <cellStyle name="???? [0.00]_PRODUCT DETAIL Q1" xfId="11" xr:uid="{00000000-0005-0000-0000-00000A000000}"/>
    <cellStyle name="????_PRODUCT DETAIL Q1" xfId="12" xr:uid="{00000000-0005-0000-0000-00000B000000}"/>
    <cellStyle name="???[0]_?? DI" xfId="13" xr:uid="{00000000-0005-0000-0000-00000C000000}"/>
    <cellStyle name="???_?? DI" xfId="14" xr:uid="{00000000-0005-0000-0000-00000D000000}"/>
    <cellStyle name="??[0]_BRE" xfId="15" xr:uid="{00000000-0005-0000-0000-00000E000000}"/>
    <cellStyle name="??_ Att. 1- Cover" xfId="16" xr:uid="{00000000-0005-0000-0000-00000F000000}"/>
    <cellStyle name="??A? [0]_ÿÿÿÿÿÿ_1_¢¬???¢â? " xfId="17" xr:uid="{00000000-0005-0000-0000-000010000000}"/>
    <cellStyle name="??A?_ÿÿÿÿÿÿ_1_¢¬???¢â? " xfId="18" xr:uid="{00000000-0005-0000-0000-000011000000}"/>
    <cellStyle name="?¡±¢¥?_?¨ù??¢´¢¥_¢¬???¢â? " xfId="19" xr:uid="{00000000-0005-0000-0000-000012000000}"/>
    <cellStyle name="?ðÇ%U?&amp;H?_x0008_?s_x000a__x0007__x0001__x0001_" xfId="20" xr:uid="{00000000-0005-0000-0000-000013000000}"/>
    <cellStyle name="_Bang Chi tieu (2)" xfId="21" xr:uid="{00000000-0005-0000-0000-000014000000}"/>
    <cellStyle name="_BCT, TimeSheet_2306-2906" xfId="22" xr:uid="{00000000-0005-0000-0000-000015000000}"/>
    <cellStyle name="_BCT, TimeSheet_2306-2906_RAC Training Effort" xfId="23" xr:uid="{00000000-0005-0000-0000-000016000000}"/>
    <cellStyle name="_Book1" xfId="24" xr:uid="{00000000-0005-0000-0000-000017000000}"/>
    <cellStyle name="_HOGV_QC_Guideline_Project Reward" xfId="25" xr:uid="{00000000-0005-0000-0000-000018000000}"/>
    <cellStyle name="_PM- FSE" xfId="26" xr:uid="{00000000-0005-0000-0000-000019000000}"/>
    <cellStyle name="~1" xfId="27" xr:uid="{00000000-0005-0000-0000-00001A000000}"/>
    <cellStyle name="¤@¯ë_¥Ø¼Ð¶i«×" xfId="28" xr:uid="{00000000-0005-0000-0000-00001B000000}"/>
    <cellStyle name="¤d¤À¦ì[0]_¥Ø¼Ð¶i«×" xfId="29" xr:uid="{00000000-0005-0000-0000-00001C000000}"/>
    <cellStyle name="¤d¤À¦ì_¥Ø¼Ð¶i«×" xfId="30" xr:uid="{00000000-0005-0000-0000-00001D000000}"/>
    <cellStyle name="1" xfId="31" xr:uid="{00000000-0005-0000-0000-00001E000000}"/>
    <cellStyle name="2" xfId="32" xr:uid="{00000000-0005-0000-0000-00001F000000}"/>
    <cellStyle name="20% - Accent1 10" xfId="33" xr:uid="{00000000-0005-0000-0000-000020000000}"/>
    <cellStyle name="20% - Accent1 11" xfId="34" xr:uid="{00000000-0005-0000-0000-000021000000}"/>
    <cellStyle name="20% - Accent1 12" xfId="35" xr:uid="{00000000-0005-0000-0000-000022000000}"/>
    <cellStyle name="20% - Accent1 13" xfId="36" xr:uid="{00000000-0005-0000-0000-000023000000}"/>
    <cellStyle name="20% - Accent1 2" xfId="37" xr:uid="{00000000-0005-0000-0000-000024000000}"/>
    <cellStyle name="20% - Accent1 2 2" xfId="38" xr:uid="{00000000-0005-0000-0000-000025000000}"/>
    <cellStyle name="20% - Accent1 2 3" xfId="39" xr:uid="{00000000-0005-0000-0000-000026000000}"/>
    <cellStyle name="20% - Accent1 3" xfId="40" xr:uid="{00000000-0005-0000-0000-000027000000}"/>
    <cellStyle name="20% - Accent1 4" xfId="41" xr:uid="{00000000-0005-0000-0000-000028000000}"/>
    <cellStyle name="20% - Accent1 5" xfId="42" xr:uid="{00000000-0005-0000-0000-000029000000}"/>
    <cellStyle name="20% - Accent1 6" xfId="43" xr:uid="{00000000-0005-0000-0000-00002A000000}"/>
    <cellStyle name="20% - Accent1 7" xfId="44" xr:uid="{00000000-0005-0000-0000-00002B000000}"/>
    <cellStyle name="20% - Accent1 8" xfId="45" xr:uid="{00000000-0005-0000-0000-00002C000000}"/>
    <cellStyle name="20% - Accent1 9" xfId="46" xr:uid="{00000000-0005-0000-0000-00002D000000}"/>
    <cellStyle name="20% - Accent2 10" xfId="47" xr:uid="{00000000-0005-0000-0000-00002E000000}"/>
    <cellStyle name="20% - Accent2 11" xfId="48" xr:uid="{00000000-0005-0000-0000-00002F000000}"/>
    <cellStyle name="20% - Accent2 12" xfId="49" xr:uid="{00000000-0005-0000-0000-000030000000}"/>
    <cellStyle name="20% - Accent2 13" xfId="50" xr:uid="{00000000-0005-0000-0000-000031000000}"/>
    <cellStyle name="20% - Accent2 2" xfId="51" xr:uid="{00000000-0005-0000-0000-000032000000}"/>
    <cellStyle name="20% - Accent2 2 2" xfId="52" xr:uid="{00000000-0005-0000-0000-000033000000}"/>
    <cellStyle name="20% - Accent2 2 3" xfId="53" xr:uid="{00000000-0005-0000-0000-000034000000}"/>
    <cellStyle name="20% - Accent2 3" xfId="54" xr:uid="{00000000-0005-0000-0000-000035000000}"/>
    <cellStyle name="20% - Accent2 4" xfId="55" xr:uid="{00000000-0005-0000-0000-000036000000}"/>
    <cellStyle name="20% - Accent2 5" xfId="56" xr:uid="{00000000-0005-0000-0000-000037000000}"/>
    <cellStyle name="20% - Accent2 6" xfId="57" xr:uid="{00000000-0005-0000-0000-000038000000}"/>
    <cellStyle name="20% - Accent2 7" xfId="58" xr:uid="{00000000-0005-0000-0000-000039000000}"/>
    <cellStyle name="20% - Accent2 8" xfId="59" xr:uid="{00000000-0005-0000-0000-00003A000000}"/>
    <cellStyle name="20% - Accent2 9" xfId="60" xr:uid="{00000000-0005-0000-0000-00003B000000}"/>
    <cellStyle name="20% - Accent3 10" xfId="61" xr:uid="{00000000-0005-0000-0000-00003C000000}"/>
    <cellStyle name="20% - Accent3 11" xfId="62" xr:uid="{00000000-0005-0000-0000-00003D000000}"/>
    <cellStyle name="20% - Accent3 12" xfId="63" xr:uid="{00000000-0005-0000-0000-00003E000000}"/>
    <cellStyle name="20% - Accent3 13" xfId="64" xr:uid="{00000000-0005-0000-0000-00003F000000}"/>
    <cellStyle name="20% - Accent3 2" xfId="65" xr:uid="{00000000-0005-0000-0000-000040000000}"/>
    <cellStyle name="20% - Accent3 2 2" xfId="66" xr:uid="{00000000-0005-0000-0000-000041000000}"/>
    <cellStyle name="20% - Accent3 2 3" xfId="67" xr:uid="{00000000-0005-0000-0000-000042000000}"/>
    <cellStyle name="20% - Accent3 3" xfId="68" xr:uid="{00000000-0005-0000-0000-000043000000}"/>
    <cellStyle name="20% - Accent3 4" xfId="69" xr:uid="{00000000-0005-0000-0000-000044000000}"/>
    <cellStyle name="20% - Accent3 5" xfId="70" xr:uid="{00000000-0005-0000-0000-000045000000}"/>
    <cellStyle name="20% - Accent3 6" xfId="71" xr:uid="{00000000-0005-0000-0000-000046000000}"/>
    <cellStyle name="20% - Accent3 7" xfId="72" xr:uid="{00000000-0005-0000-0000-000047000000}"/>
    <cellStyle name="20% - Accent3 8" xfId="73" xr:uid="{00000000-0005-0000-0000-000048000000}"/>
    <cellStyle name="20% - Accent3 9" xfId="74" xr:uid="{00000000-0005-0000-0000-000049000000}"/>
    <cellStyle name="20% - Accent4 10" xfId="75" xr:uid="{00000000-0005-0000-0000-00004A000000}"/>
    <cellStyle name="20% - Accent4 11" xfId="76" xr:uid="{00000000-0005-0000-0000-00004B000000}"/>
    <cellStyle name="20% - Accent4 12" xfId="77" xr:uid="{00000000-0005-0000-0000-00004C000000}"/>
    <cellStyle name="20% - Accent4 13" xfId="78" xr:uid="{00000000-0005-0000-0000-00004D000000}"/>
    <cellStyle name="20% - Accent4 2" xfId="79" xr:uid="{00000000-0005-0000-0000-00004E000000}"/>
    <cellStyle name="20% - Accent4 2 2" xfId="80" xr:uid="{00000000-0005-0000-0000-00004F000000}"/>
    <cellStyle name="20% - Accent4 2 3" xfId="81" xr:uid="{00000000-0005-0000-0000-000050000000}"/>
    <cellStyle name="20% - Accent4 3" xfId="82" xr:uid="{00000000-0005-0000-0000-000051000000}"/>
    <cellStyle name="20% - Accent4 4" xfId="83" xr:uid="{00000000-0005-0000-0000-000052000000}"/>
    <cellStyle name="20% - Accent4 5" xfId="84" xr:uid="{00000000-0005-0000-0000-000053000000}"/>
    <cellStyle name="20% - Accent4 6" xfId="85" xr:uid="{00000000-0005-0000-0000-000054000000}"/>
    <cellStyle name="20% - Accent4 7" xfId="86" xr:uid="{00000000-0005-0000-0000-000055000000}"/>
    <cellStyle name="20% - Accent4 8" xfId="87" xr:uid="{00000000-0005-0000-0000-000056000000}"/>
    <cellStyle name="20% - Accent4 9" xfId="88" xr:uid="{00000000-0005-0000-0000-000057000000}"/>
    <cellStyle name="20% - Accent5 10" xfId="89" xr:uid="{00000000-0005-0000-0000-000058000000}"/>
    <cellStyle name="20% - Accent5 11" xfId="90" xr:uid="{00000000-0005-0000-0000-000059000000}"/>
    <cellStyle name="20% - Accent5 12" xfId="91" xr:uid="{00000000-0005-0000-0000-00005A000000}"/>
    <cellStyle name="20% - Accent5 13" xfId="92" xr:uid="{00000000-0005-0000-0000-00005B000000}"/>
    <cellStyle name="20% - Accent5 2" xfId="93" xr:uid="{00000000-0005-0000-0000-00005C000000}"/>
    <cellStyle name="20% - Accent5 2 2" xfId="94" xr:uid="{00000000-0005-0000-0000-00005D000000}"/>
    <cellStyle name="20% - Accent5 2 3" xfId="95" xr:uid="{00000000-0005-0000-0000-00005E000000}"/>
    <cellStyle name="20% - Accent5 3" xfId="96" xr:uid="{00000000-0005-0000-0000-00005F000000}"/>
    <cellStyle name="20% - Accent5 4" xfId="97" xr:uid="{00000000-0005-0000-0000-000060000000}"/>
    <cellStyle name="20% - Accent5 5" xfId="98" xr:uid="{00000000-0005-0000-0000-000061000000}"/>
    <cellStyle name="20% - Accent5 6" xfId="99" xr:uid="{00000000-0005-0000-0000-000062000000}"/>
    <cellStyle name="20% - Accent5 7" xfId="100" xr:uid="{00000000-0005-0000-0000-000063000000}"/>
    <cellStyle name="20% - Accent5 8" xfId="101" xr:uid="{00000000-0005-0000-0000-000064000000}"/>
    <cellStyle name="20% - Accent5 9" xfId="102" xr:uid="{00000000-0005-0000-0000-000065000000}"/>
    <cellStyle name="20% - Accent6 10" xfId="103" xr:uid="{00000000-0005-0000-0000-000066000000}"/>
    <cellStyle name="20% - Accent6 11" xfId="104" xr:uid="{00000000-0005-0000-0000-000067000000}"/>
    <cellStyle name="20% - Accent6 12" xfId="105" xr:uid="{00000000-0005-0000-0000-000068000000}"/>
    <cellStyle name="20% - Accent6 13" xfId="106" xr:uid="{00000000-0005-0000-0000-000069000000}"/>
    <cellStyle name="20% - Accent6 2" xfId="107" xr:uid="{00000000-0005-0000-0000-00006A000000}"/>
    <cellStyle name="20% - Accent6 2 2" xfId="108" xr:uid="{00000000-0005-0000-0000-00006B000000}"/>
    <cellStyle name="20% - Accent6 2 3" xfId="109" xr:uid="{00000000-0005-0000-0000-00006C000000}"/>
    <cellStyle name="20% - Accent6 3" xfId="110" xr:uid="{00000000-0005-0000-0000-00006D000000}"/>
    <cellStyle name="20% - Accent6 4" xfId="111" xr:uid="{00000000-0005-0000-0000-00006E000000}"/>
    <cellStyle name="20% - Accent6 5" xfId="112" xr:uid="{00000000-0005-0000-0000-00006F000000}"/>
    <cellStyle name="20% - Accent6 6" xfId="113" xr:uid="{00000000-0005-0000-0000-000070000000}"/>
    <cellStyle name="20% - Accent6 7" xfId="114" xr:uid="{00000000-0005-0000-0000-000071000000}"/>
    <cellStyle name="20% - Accent6 8" xfId="115" xr:uid="{00000000-0005-0000-0000-000072000000}"/>
    <cellStyle name="20% - Accent6 9" xfId="116" xr:uid="{00000000-0005-0000-0000-000073000000}"/>
    <cellStyle name="20% - アクセント 1" xfId="117" xr:uid="{00000000-0005-0000-0000-000074000000}"/>
    <cellStyle name="20% - アクセント 1 10" xfId="118" xr:uid="{00000000-0005-0000-0000-000075000000}"/>
    <cellStyle name="20% - アクセント 1 11" xfId="119" xr:uid="{00000000-0005-0000-0000-000076000000}"/>
    <cellStyle name="20% - アクセント 1 12" xfId="120" xr:uid="{00000000-0005-0000-0000-000077000000}"/>
    <cellStyle name="20% - アクセント 1 13" xfId="121" xr:uid="{00000000-0005-0000-0000-000078000000}"/>
    <cellStyle name="20% - アクセント 1 2" xfId="122" xr:uid="{00000000-0005-0000-0000-000079000000}"/>
    <cellStyle name="20% - アクセント 1 3" xfId="123" xr:uid="{00000000-0005-0000-0000-00007A000000}"/>
    <cellStyle name="20% - アクセント 1 4" xfId="124" xr:uid="{00000000-0005-0000-0000-00007B000000}"/>
    <cellStyle name="20% - アクセント 1 5" xfId="125" xr:uid="{00000000-0005-0000-0000-00007C000000}"/>
    <cellStyle name="20% - アクセント 1 6" xfId="126" xr:uid="{00000000-0005-0000-0000-00007D000000}"/>
    <cellStyle name="20% - アクセント 1 7" xfId="127" xr:uid="{00000000-0005-0000-0000-00007E000000}"/>
    <cellStyle name="20% - アクセント 1 8" xfId="128" xr:uid="{00000000-0005-0000-0000-00007F000000}"/>
    <cellStyle name="20% - アクセント 1 9" xfId="129" xr:uid="{00000000-0005-0000-0000-000080000000}"/>
    <cellStyle name="20% - アクセント 2" xfId="130" xr:uid="{00000000-0005-0000-0000-000081000000}"/>
    <cellStyle name="20% - アクセント 2 10" xfId="131" xr:uid="{00000000-0005-0000-0000-000082000000}"/>
    <cellStyle name="20% - アクセント 2 11" xfId="132" xr:uid="{00000000-0005-0000-0000-000083000000}"/>
    <cellStyle name="20% - アクセント 2 12" xfId="133" xr:uid="{00000000-0005-0000-0000-000084000000}"/>
    <cellStyle name="20% - アクセント 2 13" xfId="134" xr:uid="{00000000-0005-0000-0000-000085000000}"/>
    <cellStyle name="20% - アクセント 2 2" xfId="135" xr:uid="{00000000-0005-0000-0000-000086000000}"/>
    <cellStyle name="20% - アクセント 2 3" xfId="136" xr:uid="{00000000-0005-0000-0000-000087000000}"/>
    <cellStyle name="20% - アクセント 2 4" xfId="137" xr:uid="{00000000-0005-0000-0000-000088000000}"/>
    <cellStyle name="20% - アクセント 2 5" xfId="138" xr:uid="{00000000-0005-0000-0000-000089000000}"/>
    <cellStyle name="20% - アクセント 2 6" xfId="139" xr:uid="{00000000-0005-0000-0000-00008A000000}"/>
    <cellStyle name="20% - アクセント 2 7" xfId="140" xr:uid="{00000000-0005-0000-0000-00008B000000}"/>
    <cellStyle name="20% - アクセント 2 8" xfId="141" xr:uid="{00000000-0005-0000-0000-00008C000000}"/>
    <cellStyle name="20% - アクセント 2 9" xfId="142" xr:uid="{00000000-0005-0000-0000-00008D000000}"/>
    <cellStyle name="20% - アクセント 3" xfId="143" xr:uid="{00000000-0005-0000-0000-00008E000000}"/>
    <cellStyle name="20% - アクセント 3 10" xfId="144" xr:uid="{00000000-0005-0000-0000-00008F000000}"/>
    <cellStyle name="20% - アクセント 3 11" xfId="145" xr:uid="{00000000-0005-0000-0000-000090000000}"/>
    <cellStyle name="20% - アクセント 3 12" xfId="146" xr:uid="{00000000-0005-0000-0000-000091000000}"/>
    <cellStyle name="20% - アクセント 3 13" xfId="147" xr:uid="{00000000-0005-0000-0000-000092000000}"/>
    <cellStyle name="20% - アクセント 3 2" xfId="148" xr:uid="{00000000-0005-0000-0000-000093000000}"/>
    <cellStyle name="20% - アクセント 3 3" xfId="149" xr:uid="{00000000-0005-0000-0000-000094000000}"/>
    <cellStyle name="20% - アクセント 3 4" xfId="150" xr:uid="{00000000-0005-0000-0000-000095000000}"/>
    <cellStyle name="20% - アクセント 3 5" xfId="151" xr:uid="{00000000-0005-0000-0000-000096000000}"/>
    <cellStyle name="20% - アクセント 3 6" xfId="152" xr:uid="{00000000-0005-0000-0000-000097000000}"/>
    <cellStyle name="20% - アクセント 3 7" xfId="153" xr:uid="{00000000-0005-0000-0000-000098000000}"/>
    <cellStyle name="20% - アクセント 3 8" xfId="154" xr:uid="{00000000-0005-0000-0000-000099000000}"/>
    <cellStyle name="20% - アクセント 3 9" xfId="155" xr:uid="{00000000-0005-0000-0000-00009A000000}"/>
    <cellStyle name="20% - アクセント 4" xfId="156" xr:uid="{00000000-0005-0000-0000-00009B000000}"/>
    <cellStyle name="20% - アクセント 4 10" xfId="157" xr:uid="{00000000-0005-0000-0000-00009C000000}"/>
    <cellStyle name="20% - アクセント 4 11" xfId="158" xr:uid="{00000000-0005-0000-0000-00009D000000}"/>
    <cellStyle name="20% - アクセント 4 12" xfId="159" xr:uid="{00000000-0005-0000-0000-00009E000000}"/>
    <cellStyle name="20% - アクセント 4 13" xfId="160" xr:uid="{00000000-0005-0000-0000-00009F000000}"/>
    <cellStyle name="20% - アクセント 4 2" xfId="161" xr:uid="{00000000-0005-0000-0000-0000A0000000}"/>
    <cellStyle name="20% - アクセント 4 3" xfId="162" xr:uid="{00000000-0005-0000-0000-0000A1000000}"/>
    <cellStyle name="20% - アクセント 4 4" xfId="163" xr:uid="{00000000-0005-0000-0000-0000A2000000}"/>
    <cellStyle name="20% - アクセント 4 5" xfId="164" xr:uid="{00000000-0005-0000-0000-0000A3000000}"/>
    <cellStyle name="20% - アクセント 4 6" xfId="165" xr:uid="{00000000-0005-0000-0000-0000A4000000}"/>
    <cellStyle name="20% - アクセント 4 7" xfId="166" xr:uid="{00000000-0005-0000-0000-0000A5000000}"/>
    <cellStyle name="20% - アクセント 4 8" xfId="167" xr:uid="{00000000-0005-0000-0000-0000A6000000}"/>
    <cellStyle name="20% - アクセント 4 9" xfId="168" xr:uid="{00000000-0005-0000-0000-0000A7000000}"/>
    <cellStyle name="20% - アクセント 5" xfId="169" xr:uid="{00000000-0005-0000-0000-0000A8000000}"/>
    <cellStyle name="20% - アクセント 5 10" xfId="170" xr:uid="{00000000-0005-0000-0000-0000A9000000}"/>
    <cellStyle name="20% - アクセント 5 11" xfId="171" xr:uid="{00000000-0005-0000-0000-0000AA000000}"/>
    <cellStyle name="20% - アクセント 5 12" xfId="172" xr:uid="{00000000-0005-0000-0000-0000AB000000}"/>
    <cellStyle name="20% - アクセント 5 13" xfId="173" xr:uid="{00000000-0005-0000-0000-0000AC000000}"/>
    <cellStyle name="20% - アクセント 5 2" xfId="174" xr:uid="{00000000-0005-0000-0000-0000AD000000}"/>
    <cellStyle name="20% - アクセント 5 3" xfId="175" xr:uid="{00000000-0005-0000-0000-0000AE000000}"/>
    <cellStyle name="20% - アクセント 5 4" xfId="176" xr:uid="{00000000-0005-0000-0000-0000AF000000}"/>
    <cellStyle name="20% - アクセント 5 5" xfId="177" xr:uid="{00000000-0005-0000-0000-0000B0000000}"/>
    <cellStyle name="20% - アクセント 5 6" xfId="178" xr:uid="{00000000-0005-0000-0000-0000B1000000}"/>
    <cellStyle name="20% - アクセント 5 7" xfId="179" xr:uid="{00000000-0005-0000-0000-0000B2000000}"/>
    <cellStyle name="20% - アクセント 5 8" xfId="180" xr:uid="{00000000-0005-0000-0000-0000B3000000}"/>
    <cellStyle name="20% - アクセント 5 9" xfId="181" xr:uid="{00000000-0005-0000-0000-0000B4000000}"/>
    <cellStyle name="20% - アクセント 6" xfId="182" xr:uid="{00000000-0005-0000-0000-0000B5000000}"/>
    <cellStyle name="20% - アクセント 6 10" xfId="183" xr:uid="{00000000-0005-0000-0000-0000B6000000}"/>
    <cellStyle name="20% - アクセント 6 11" xfId="184" xr:uid="{00000000-0005-0000-0000-0000B7000000}"/>
    <cellStyle name="20% - アクセント 6 12" xfId="185" xr:uid="{00000000-0005-0000-0000-0000B8000000}"/>
    <cellStyle name="20% - アクセント 6 13" xfId="186" xr:uid="{00000000-0005-0000-0000-0000B9000000}"/>
    <cellStyle name="20% - アクセント 6 2" xfId="187" xr:uid="{00000000-0005-0000-0000-0000BA000000}"/>
    <cellStyle name="20% - アクセント 6 3" xfId="188" xr:uid="{00000000-0005-0000-0000-0000BB000000}"/>
    <cellStyle name="20% - アクセント 6 4" xfId="189" xr:uid="{00000000-0005-0000-0000-0000BC000000}"/>
    <cellStyle name="20% - アクセント 6 5" xfId="190" xr:uid="{00000000-0005-0000-0000-0000BD000000}"/>
    <cellStyle name="20% - アクセント 6 6" xfId="191" xr:uid="{00000000-0005-0000-0000-0000BE000000}"/>
    <cellStyle name="20% - アクセント 6 7" xfId="192" xr:uid="{00000000-0005-0000-0000-0000BF000000}"/>
    <cellStyle name="20% - アクセント 6 8" xfId="193" xr:uid="{00000000-0005-0000-0000-0000C0000000}"/>
    <cellStyle name="20% - アクセント 6 9" xfId="194" xr:uid="{00000000-0005-0000-0000-0000C1000000}"/>
    <cellStyle name="3" xfId="195" xr:uid="{00000000-0005-0000-0000-0000C2000000}"/>
    <cellStyle name="³f¹ô [0]_¥Ø¼Ð¶i«×" xfId="196" xr:uid="{00000000-0005-0000-0000-0000C3000000}"/>
    <cellStyle name="³f¹ô[0]_1-99" xfId="197" xr:uid="{00000000-0005-0000-0000-0000C4000000}"/>
    <cellStyle name="³f¹ô_¥Ø¼Ð¶i«×" xfId="198" xr:uid="{00000000-0005-0000-0000-0000C5000000}"/>
    <cellStyle name="4" xfId="199" xr:uid="{00000000-0005-0000-0000-0000C6000000}"/>
    <cellStyle name="40% - Accent1 10" xfId="200" xr:uid="{00000000-0005-0000-0000-0000C7000000}"/>
    <cellStyle name="40% - Accent1 11" xfId="201" xr:uid="{00000000-0005-0000-0000-0000C8000000}"/>
    <cellStyle name="40% - Accent1 12" xfId="202" xr:uid="{00000000-0005-0000-0000-0000C9000000}"/>
    <cellStyle name="40% - Accent1 13" xfId="203" xr:uid="{00000000-0005-0000-0000-0000CA000000}"/>
    <cellStyle name="40% - Accent1 2" xfId="204" xr:uid="{00000000-0005-0000-0000-0000CB000000}"/>
    <cellStyle name="40% - Accent1 2 2" xfId="205" xr:uid="{00000000-0005-0000-0000-0000CC000000}"/>
    <cellStyle name="40% - Accent1 2 3" xfId="206" xr:uid="{00000000-0005-0000-0000-0000CD000000}"/>
    <cellStyle name="40% - Accent1 3" xfId="207" xr:uid="{00000000-0005-0000-0000-0000CE000000}"/>
    <cellStyle name="40% - Accent1 4" xfId="208" xr:uid="{00000000-0005-0000-0000-0000CF000000}"/>
    <cellStyle name="40% - Accent1 5" xfId="209" xr:uid="{00000000-0005-0000-0000-0000D0000000}"/>
    <cellStyle name="40% - Accent1 6" xfId="210" xr:uid="{00000000-0005-0000-0000-0000D1000000}"/>
    <cellStyle name="40% - Accent1 7" xfId="211" xr:uid="{00000000-0005-0000-0000-0000D2000000}"/>
    <cellStyle name="40% - Accent1 8" xfId="212" xr:uid="{00000000-0005-0000-0000-0000D3000000}"/>
    <cellStyle name="40% - Accent1 9" xfId="213" xr:uid="{00000000-0005-0000-0000-0000D4000000}"/>
    <cellStyle name="40% - Accent2 10" xfId="214" xr:uid="{00000000-0005-0000-0000-0000D5000000}"/>
    <cellStyle name="40% - Accent2 11" xfId="215" xr:uid="{00000000-0005-0000-0000-0000D6000000}"/>
    <cellStyle name="40% - Accent2 12" xfId="216" xr:uid="{00000000-0005-0000-0000-0000D7000000}"/>
    <cellStyle name="40% - Accent2 13" xfId="217" xr:uid="{00000000-0005-0000-0000-0000D8000000}"/>
    <cellStyle name="40% - Accent2 2" xfId="218" xr:uid="{00000000-0005-0000-0000-0000D9000000}"/>
    <cellStyle name="40% - Accent2 2 2" xfId="219" xr:uid="{00000000-0005-0000-0000-0000DA000000}"/>
    <cellStyle name="40% - Accent2 2 3" xfId="220" xr:uid="{00000000-0005-0000-0000-0000DB000000}"/>
    <cellStyle name="40% - Accent2 3" xfId="221" xr:uid="{00000000-0005-0000-0000-0000DC000000}"/>
    <cellStyle name="40% - Accent2 4" xfId="222" xr:uid="{00000000-0005-0000-0000-0000DD000000}"/>
    <cellStyle name="40% - Accent2 5" xfId="223" xr:uid="{00000000-0005-0000-0000-0000DE000000}"/>
    <cellStyle name="40% - Accent2 6" xfId="224" xr:uid="{00000000-0005-0000-0000-0000DF000000}"/>
    <cellStyle name="40% - Accent2 7" xfId="225" xr:uid="{00000000-0005-0000-0000-0000E0000000}"/>
    <cellStyle name="40% - Accent2 8" xfId="226" xr:uid="{00000000-0005-0000-0000-0000E1000000}"/>
    <cellStyle name="40% - Accent2 9" xfId="227" xr:uid="{00000000-0005-0000-0000-0000E2000000}"/>
    <cellStyle name="40% - Accent3 10" xfId="228" xr:uid="{00000000-0005-0000-0000-0000E3000000}"/>
    <cellStyle name="40% - Accent3 11" xfId="229" xr:uid="{00000000-0005-0000-0000-0000E4000000}"/>
    <cellStyle name="40% - Accent3 12" xfId="230" xr:uid="{00000000-0005-0000-0000-0000E5000000}"/>
    <cellStyle name="40% - Accent3 13" xfId="231" xr:uid="{00000000-0005-0000-0000-0000E6000000}"/>
    <cellStyle name="40% - Accent3 2" xfId="232" xr:uid="{00000000-0005-0000-0000-0000E7000000}"/>
    <cellStyle name="40% - Accent3 2 2" xfId="233" xr:uid="{00000000-0005-0000-0000-0000E8000000}"/>
    <cellStyle name="40% - Accent3 2 3" xfId="234" xr:uid="{00000000-0005-0000-0000-0000E9000000}"/>
    <cellStyle name="40% - Accent3 3" xfId="235" xr:uid="{00000000-0005-0000-0000-0000EA000000}"/>
    <cellStyle name="40% - Accent3 4" xfId="236" xr:uid="{00000000-0005-0000-0000-0000EB000000}"/>
    <cellStyle name="40% - Accent3 5" xfId="237" xr:uid="{00000000-0005-0000-0000-0000EC000000}"/>
    <cellStyle name="40% - Accent3 6" xfId="238" xr:uid="{00000000-0005-0000-0000-0000ED000000}"/>
    <cellStyle name="40% - Accent3 7" xfId="239" xr:uid="{00000000-0005-0000-0000-0000EE000000}"/>
    <cellStyle name="40% - Accent3 8" xfId="240" xr:uid="{00000000-0005-0000-0000-0000EF000000}"/>
    <cellStyle name="40% - Accent3 9" xfId="241" xr:uid="{00000000-0005-0000-0000-0000F0000000}"/>
    <cellStyle name="40% - Accent4 10" xfId="242" xr:uid="{00000000-0005-0000-0000-0000F1000000}"/>
    <cellStyle name="40% - Accent4 11" xfId="243" xr:uid="{00000000-0005-0000-0000-0000F2000000}"/>
    <cellStyle name="40% - Accent4 12" xfId="244" xr:uid="{00000000-0005-0000-0000-0000F3000000}"/>
    <cellStyle name="40% - Accent4 13" xfId="245" xr:uid="{00000000-0005-0000-0000-0000F4000000}"/>
    <cellStyle name="40% - Accent4 2" xfId="246" xr:uid="{00000000-0005-0000-0000-0000F5000000}"/>
    <cellStyle name="40% - Accent4 2 2" xfId="247" xr:uid="{00000000-0005-0000-0000-0000F6000000}"/>
    <cellStyle name="40% - Accent4 2 3" xfId="248" xr:uid="{00000000-0005-0000-0000-0000F7000000}"/>
    <cellStyle name="40% - Accent4 3" xfId="249" xr:uid="{00000000-0005-0000-0000-0000F8000000}"/>
    <cellStyle name="40% - Accent4 4" xfId="250" xr:uid="{00000000-0005-0000-0000-0000F9000000}"/>
    <cellStyle name="40% - Accent4 5" xfId="251" xr:uid="{00000000-0005-0000-0000-0000FA000000}"/>
    <cellStyle name="40% - Accent4 6" xfId="252" xr:uid="{00000000-0005-0000-0000-0000FB000000}"/>
    <cellStyle name="40% - Accent4 7" xfId="253" xr:uid="{00000000-0005-0000-0000-0000FC000000}"/>
    <cellStyle name="40% - Accent4 8" xfId="254" xr:uid="{00000000-0005-0000-0000-0000FD000000}"/>
    <cellStyle name="40% - Accent4 9" xfId="255" xr:uid="{00000000-0005-0000-0000-0000FE000000}"/>
    <cellStyle name="40% - Accent5 10" xfId="256" xr:uid="{00000000-0005-0000-0000-0000FF000000}"/>
    <cellStyle name="40% - Accent5 11" xfId="257" xr:uid="{00000000-0005-0000-0000-000000010000}"/>
    <cellStyle name="40% - Accent5 12" xfId="258" xr:uid="{00000000-0005-0000-0000-000001010000}"/>
    <cellStyle name="40% - Accent5 13" xfId="259" xr:uid="{00000000-0005-0000-0000-000002010000}"/>
    <cellStyle name="40% - Accent5 2" xfId="260" xr:uid="{00000000-0005-0000-0000-000003010000}"/>
    <cellStyle name="40% - Accent5 2 2" xfId="261" xr:uid="{00000000-0005-0000-0000-000004010000}"/>
    <cellStyle name="40% - Accent5 2 3" xfId="262" xr:uid="{00000000-0005-0000-0000-000005010000}"/>
    <cellStyle name="40% - Accent5 3" xfId="263" xr:uid="{00000000-0005-0000-0000-000006010000}"/>
    <cellStyle name="40% - Accent5 4" xfId="264" xr:uid="{00000000-0005-0000-0000-000007010000}"/>
    <cellStyle name="40% - Accent5 5" xfId="265" xr:uid="{00000000-0005-0000-0000-000008010000}"/>
    <cellStyle name="40% - Accent5 6" xfId="266" xr:uid="{00000000-0005-0000-0000-000009010000}"/>
    <cellStyle name="40% - Accent5 7" xfId="267" xr:uid="{00000000-0005-0000-0000-00000A010000}"/>
    <cellStyle name="40% - Accent5 8" xfId="268" xr:uid="{00000000-0005-0000-0000-00000B010000}"/>
    <cellStyle name="40% - Accent5 9" xfId="269" xr:uid="{00000000-0005-0000-0000-00000C010000}"/>
    <cellStyle name="40% - Accent6 10" xfId="270" xr:uid="{00000000-0005-0000-0000-00000D010000}"/>
    <cellStyle name="40% - Accent6 11" xfId="271" xr:uid="{00000000-0005-0000-0000-00000E010000}"/>
    <cellStyle name="40% - Accent6 12" xfId="272" xr:uid="{00000000-0005-0000-0000-00000F010000}"/>
    <cellStyle name="40% - Accent6 13" xfId="273" xr:uid="{00000000-0005-0000-0000-000010010000}"/>
    <cellStyle name="40% - Accent6 2" xfId="274" xr:uid="{00000000-0005-0000-0000-000011010000}"/>
    <cellStyle name="40% - Accent6 2 2" xfId="275" xr:uid="{00000000-0005-0000-0000-000012010000}"/>
    <cellStyle name="40% - Accent6 2 3" xfId="276" xr:uid="{00000000-0005-0000-0000-000013010000}"/>
    <cellStyle name="40% - Accent6 3" xfId="277" xr:uid="{00000000-0005-0000-0000-000014010000}"/>
    <cellStyle name="40% - Accent6 4" xfId="278" xr:uid="{00000000-0005-0000-0000-000015010000}"/>
    <cellStyle name="40% - Accent6 5" xfId="279" xr:uid="{00000000-0005-0000-0000-000016010000}"/>
    <cellStyle name="40% - Accent6 6" xfId="280" xr:uid="{00000000-0005-0000-0000-000017010000}"/>
    <cellStyle name="40% - Accent6 7" xfId="281" xr:uid="{00000000-0005-0000-0000-000018010000}"/>
    <cellStyle name="40% - Accent6 8" xfId="282" xr:uid="{00000000-0005-0000-0000-000019010000}"/>
    <cellStyle name="40% - Accent6 9" xfId="283" xr:uid="{00000000-0005-0000-0000-00001A010000}"/>
    <cellStyle name="40% - アクセント 1" xfId="284" xr:uid="{00000000-0005-0000-0000-00001B010000}"/>
    <cellStyle name="40% - アクセント 1 10" xfId="285" xr:uid="{00000000-0005-0000-0000-00001C010000}"/>
    <cellStyle name="40% - アクセント 1 11" xfId="286" xr:uid="{00000000-0005-0000-0000-00001D010000}"/>
    <cellStyle name="40% - アクセント 1 12" xfId="287" xr:uid="{00000000-0005-0000-0000-00001E010000}"/>
    <cellStyle name="40% - アクセント 1 13" xfId="288" xr:uid="{00000000-0005-0000-0000-00001F010000}"/>
    <cellStyle name="40% - アクセント 1 2" xfId="289" xr:uid="{00000000-0005-0000-0000-000020010000}"/>
    <cellStyle name="40% - アクセント 1 3" xfId="290" xr:uid="{00000000-0005-0000-0000-000021010000}"/>
    <cellStyle name="40% - アクセント 1 4" xfId="291" xr:uid="{00000000-0005-0000-0000-000022010000}"/>
    <cellStyle name="40% - アクセント 1 5" xfId="292" xr:uid="{00000000-0005-0000-0000-000023010000}"/>
    <cellStyle name="40% - アクセント 1 6" xfId="293" xr:uid="{00000000-0005-0000-0000-000024010000}"/>
    <cellStyle name="40% - アクセント 1 7" xfId="294" xr:uid="{00000000-0005-0000-0000-000025010000}"/>
    <cellStyle name="40% - アクセント 1 8" xfId="295" xr:uid="{00000000-0005-0000-0000-000026010000}"/>
    <cellStyle name="40% - アクセント 1 9" xfId="296" xr:uid="{00000000-0005-0000-0000-000027010000}"/>
    <cellStyle name="40% - アクセント 2" xfId="297" xr:uid="{00000000-0005-0000-0000-000028010000}"/>
    <cellStyle name="40% - アクセント 2 10" xfId="298" xr:uid="{00000000-0005-0000-0000-000029010000}"/>
    <cellStyle name="40% - アクセント 2 11" xfId="299" xr:uid="{00000000-0005-0000-0000-00002A010000}"/>
    <cellStyle name="40% - アクセント 2 12" xfId="300" xr:uid="{00000000-0005-0000-0000-00002B010000}"/>
    <cellStyle name="40% - アクセント 2 13" xfId="301" xr:uid="{00000000-0005-0000-0000-00002C010000}"/>
    <cellStyle name="40% - アクセント 2 2" xfId="302" xr:uid="{00000000-0005-0000-0000-00002D010000}"/>
    <cellStyle name="40% - アクセント 2 3" xfId="303" xr:uid="{00000000-0005-0000-0000-00002E010000}"/>
    <cellStyle name="40% - アクセント 2 4" xfId="304" xr:uid="{00000000-0005-0000-0000-00002F010000}"/>
    <cellStyle name="40% - アクセント 2 5" xfId="305" xr:uid="{00000000-0005-0000-0000-000030010000}"/>
    <cellStyle name="40% - アクセント 2 6" xfId="306" xr:uid="{00000000-0005-0000-0000-000031010000}"/>
    <cellStyle name="40% - アクセント 2 7" xfId="307" xr:uid="{00000000-0005-0000-0000-000032010000}"/>
    <cellStyle name="40% - アクセント 2 8" xfId="308" xr:uid="{00000000-0005-0000-0000-000033010000}"/>
    <cellStyle name="40% - アクセント 2 9" xfId="309" xr:uid="{00000000-0005-0000-0000-000034010000}"/>
    <cellStyle name="40% - アクセント 3" xfId="310" xr:uid="{00000000-0005-0000-0000-000035010000}"/>
    <cellStyle name="40% - アクセント 3 10" xfId="311" xr:uid="{00000000-0005-0000-0000-000036010000}"/>
    <cellStyle name="40% - アクセント 3 11" xfId="312" xr:uid="{00000000-0005-0000-0000-000037010000}"/>
    <cellStyle name="40% - アクセント 3 12" xfId="313" xr:uid="{00000000-0005-0000-0000-000038010000}"/>
    <cellStyle name="40% - アクセント 3 13" xfId="314" xr:uid="{00000000-0005-0000-0000-000039010000}"/>
    <cellStyle name="40% - アクセント 3 2" xfId="315" xr:uid="{00000000-0005-0000-0000-00003A010000}"/>
    <cellStyle name="40% - アクセント 3 3" xfId="316" xr:uid="{00000000-0005-0000-0000-00003B010000}"/>
    <cellStyle name="40% - アクセント 3 4" xfId="317" xr:uid="{00000000-0005-0000-0000-00003C010000}"/>
    <cellStyle name="40% - アクセント 3 5" xfId="318" xr:uid="{00000000-0005-0000-0000-00003D010000}"/>
    <cellStyle name="40% - アクセント 3 6" xfId="319" xr:uid="{00000000-0005-0000-0000-00003E010000}"/>
    <cellStyle name="40% - アクセント 3 7" xfId="320" xr:uid="{00000000-0005-0000-0000-00003F010000}"/>
    <cellStyle name="40% - アクセント 3 8" xfId="321" xr:uid="{00000000-0005-0000-0000-000040010000}"/>
    <cellStyle name="40% - アクセント 3 9" xfId="322" xr:uid="{00000000-0005-0000-0000-000041010000}"/>
    <cellStyle name="40% - アクセント 4" xfId="323" xr:uid="{00000000-0005-0000-0000-000042010000}"/>
    <cellStyle name="40% - アクセント 4 10" xfId="324" xr:uid="{00000000-0005-0000-0000-000043010000}"/>
    <cellStyle name="40% - アクセント 4 11" xfId="325" xr:uid="{00000000-0005-0000-0000-000044010000}"/>
    <cellStyle name="40% - アクセント 4 12" xfId="326" xr:uid="{00000000-0005-0000-0000-000045010000}"/>
    <cellStyle name="40% - アクセント 4 13" xfId="327" xr:uid="{00000000-0005-0000-0000-000046010000}"/>
    <cellStyle name="40% - アクセント 4 2" xfId="328" xr:uid="{00000000-0005-0000-0000-000047010000}"/>
    <cellStyle name="40% - アクセント 4 3" xfId="329" xr:uid="{00000000-0005-0000-0000-000048010000}"/>
    <cellStyle name="40% - アクセント 4 4" xfId="330" xr:uid="{00000000-0005-0000-0000-000049010000}"/>
    <cellStyle name="40% - アクセント 4 5" xfId="331" xr:uid="{00000000-0005-0000-0000-00004A010000}"/>
    <cellStyle name="40% - アクセント 4 6" xfId="332" xr:uid="{00000000-0005-0000-0000-00004B010000}"/>
    <cellStyle name="40% - アクセント 4 7" xfId="333" xr:uid="{00000000-0005-0000-0000-00004C010000}"/>
    <cellStyle name="40% - アクセント 4 8" xfId="334" xr:uid="{00000000-0005-0000-0000-00004D010000}"/>
    <cellStyle name="40% - アクセント 4 9" xfId="335" xr:uid="{00000000-0005-0000-0000-00004E010000}"/>
    <cellStyle name="40% - アクセント 5" xfId="336" xr:uid="{00000000-0005-0000-0000-00004F010000}"/>
    <cellStyle name="40% - アクセント 5 10" xfId="337" xr:uid="{00000000-0005-0000-0000-000050010000}"/>
    <cellStyle name="40% - アクセント 5 11" xfId="338" xr:uid="{00000000-0005-0000-0000-000051010000}"/>
    <cellStyle name="40% - アクセント 5 12" xfId="339" xr:uid="{00000000-0005-0000-0000-000052010000}"/>
    <cellStyle name="40% - アクセント 5 13" xfId="340" xr:uid="{00000000-0005-0000-0000-000053010000}"/>
    <cellStyle name="40% - アクセント 5 2" xfId="341" xr:uid="{00000000-0005-0000-0000-000054010000}"/>
    <cellStyle name="40% - アクセント 5 3" xfId="342" xr:uid="{00000000-0005-0000-0000-000055010000}"/>
    <cellStyle name="40% - アクセント 5 4" xfId="343" xr:uid="{00000000-0005-0000-0000-000056010000}"/>
    <cellStyle name="40% - アクセント 5 5" xfId="344" xr:uid="{00000000-0005-0000-0000-000057010000}"/>
    <cellStyle name="40% - アクセント 5 6" xfId="345" xr:uid="{00000000-0005-0000-0000-000058010000}"/>
    <cellStyle name="40% - アクセント 5 7" xfId="346" xr:uid="{00000000-0005-0000-0000-000059010000}"/>
    <cellStyle name="40% - アクセント 5 8" xfId="347" xr:uid="{00000000-0005-0000-0000-00005A010000}"/>
    <cellStyle name="40% - アクセント 5 9" xfId="348" xr:uid="{00000000-0005-0000-0000-00005B010000}"/>
    <cellStyle name="40% - アクセント 6" xfId="349" xr:uid="{00000000-0005-0000-0000-00005C010000}"/>
    <cellStyle name="40% - アクセント 6 10" xfId="350" xr:uid="{00000000-0005-0000-0000-00005D010000}"/>
    <cellStyle name="40% - アクセント 6 11" xfId="351" xr:uid="{00000000-0005-0000-0000-00005E010000}"/>
    <cellStyle name="40% - アクセント 6 12" xfId="352" xr:uid="{00000000-0005-0000-0000-00005F010000}"/>
    <cellStyle name="40% - アクセント 6 13" xfId="353" xr:uid="{00000000-0005-0000-0000-000060010000}"/>
    <cellStyle name="40% - アクセント 6 2" xfId="354" xr:uid="{00000000-0005-0000-0000-000061010000}"/>
    <cellStyle name="40% - アクセント 6 3" xfId="355" xr:uid="{00000000-0005-0000-0000-000062010000}"/>
    <cellStyle name="40% - アクセント 6 4" xfId="356" xr:uid="{00000000-0005-0000-0000-000063010000}"/>
    <cellStyle name="40% - アクセント 6 5" xfId="357" xr:uid="{00000000-0005-0000-0000-000064010000}"/>
    <cellStyle name="40% - アクセント 6 6" xfId="358" xr:uid="{00000000-0005-0000-0000-000065010000}"/>
    <cellStyle name="40% - アクセント 6 7" xfId="359" xr:uid="{00000000-0005-0000-0000-000066010000}"/>
    <cellStyle name="40% - アクセント 6 8" xfId="360" xr:uid="{00000000-0005-0000-0000-000067010000}"/>
    <cellStyle name="40% - アクセント 6 9" xfId="361" xr:uid="{00000000-0005-0000-0000-000068010000}"/>
    <cellStyle name="60% - Accent1 10" xfId="362" xr:uid="{00000000-0005-0000-0000-000069010000}"/>
    <cellStyle name="60% - Accent1 11" xfId="363" xr:uid="{00000000-0005-0000-0000-00006A010000}"/>
    <cellStyle name="60% - Accent1 12" xfId="364" xr:uid="{00000000-0005-0000-0000-00006B010000}"/>
    <cellStyle name="60% - Accent1 13" xfId="365" xr:uid="{00000000-0005-0000-0000-00006C010000}"/>
    <cellStyle name="60% - Accent1 2" xfId="366" xr:uid="{00000000-0005-0000-0000-00006D010000}"/>
    <cellStyle name="60% - Accent1 2 2" xfId="367" xr:uid="{00000000-0005-0000-0000-00006E010000}"/>
    <cellStyle name="60% - Accent1 2 3" xfId="368" xr:uid="{00000000-0005-0000-0000-00006F010000}"/>
    <cellStyle name="60% - Accent1 3" xfId="369" xr:uid="{00000000-0005-0000-0000-000070010000}"/>
    <cellStyle name="60% - Accent1 4" xfId="370" xr:uid="{00000000-0005-0000-0000-000071010000}"/>
    <cellStyle name="60% - Accent1 5" xfId="371" xr:uid="{00000000-0005-0000-0000-000072010000}"/>
    <cellStyle name="60% - Accent1 6" xfId="372" xr:uid="{00000000-0005-0000-0000-000073010000}"/>
    <cellStyle name="60% - Accent1 7" xfId="373" xr:uid="{00000000-0005-0000-0000-000074010000}"/>
    <cellStyle name="60% - Accent1 8" xfId="374" xr:uid="{00000000-0005-0000-0000-000075010000}"/>
    <cellStyle name="60% - Accent1 9" xfId="375" xr:uid="{00000000-0005-0000-0000-000076010000}"/>
    <cellStyle name="60% - Accent2 10" xfId="376" xr:uid="{00000000-0005-0000-0000-000077010000}"/>
    <cellStyle name="60% - Accent2 11" xfId="377" xr:uid="{00000000-0005-0000-0000-000078010000}"/>
    <cellStyle name="60% - Accent2 12" xfId="378" xr:uid="{00000000-0005-0000-0000-000079010000}"/>
    <cellStyle name="60% - Accent2 13" xfId="379" xr:uid="{00000000-0005-0000-0000-00007A010000}"/>
    <cellStyle name="60% - Accent2 2" xfId="380" xr:uid="{00000000-0005-0000-0000-00007B010000}"/>
    <cellStyle name="60% - Accent2 2 2" xfId="381" xr:uid="{00000000-0005-0000-0000-00007C010000}"/>
    <cellStyle name="60% - Accent2 2 3" xfId="382" xr:uid="{00000000-0005-0000-0000-00007D010000}"/>
    <cellStyle name="60% - Accent2 3" xfId="383" xr:uid="{00000000-0005-0000-0000-00007E010000}"/>
    <cellStyle name="60% - Accent2 4" xfId="384" xr:uid="{00000000-0005-0000-0000-00007F010000}"/>
    <cellStyle name="60% - Accent2 5" xfId="385" xr:uid="{00000000-0005-0000-0000-000080010000}"/>
    <cellStyle name="60% - Accent2 6" xfId="386" xr:uid="{00000000-0005-0000-0000-000081010000}"/>
    <cellStyle name="60% - Accent2 7" xfId="387" xr:uid="{00000000-0005-0000-0000-000082010000}"/>
    <cellStyle name="60% - Accent2 8" xfId="388" xr:uid="{00000000-0005-0000-0000-000083010000}"/>
    <cellStyle name="60% - Accent2 9" xfId="389" xr:uid="{00000000-0005-0000-0000-000084010000}"/>
    <cellStyle name="60% - Accent3 10" xfId="390" xr:uid="{00000000-0005-0000-0000-000085010000}"/>
    <cellStyle name="60% - Accent3 11" xfId="391" xr:uid="{00000000-0005-0000-0000-000086010000}"/>
    <cellStyle name="60% - Accent3 12" xfId="392" xr:uid="{00000000-0005-0000-0000-000087010000}"/>
    <cellStyle name="60% - Accent3 13" xfId="393" xr:uid="{00000000-0005-0000-0000-000088010000}"/>
    <cellStyle name="60% - Accent3 2" xfId="394" xr:uid="{00000000-0005-0000-0000-000089010000}"/>
    <cellStyle name="60% - Accent3 2 2" xfId="395" xr:uid="{00000000-0005-0000-0000-00008A010000}"/>
    <cellStyle name="60% - Accent3 2 3" xfId="396" xr:uid="{00000000-0005-0000-0000-00008B010000}"/>
    <cellStyle name="60% - Accent3 3" xfId="397" xr:uid="{00000000-0005-0000-0000-00008C010000}"/>
    <cellStyle name="60% - Accent3 4" xfId="398" xr:uid="{00000000-0005-0000-0000-00008D010000}"/>
    <cellStyle name="60% - Accent3 5" xfId="399" xr:uid="{00000000-0005-0000-0000-00008E010000}"/>
    <cellStyle name="60% - Accent3 6" xfId="400" xr:uid="{00000000-0005-0000-0000-00008F010000}"/>
    <cellStyle name="60% - Accent3 7" xfId="401" xr:uid="{00000000-0005-0000-0000-000090010000}"/>
    <cellStyle name="60% - Accent3 8" xfId="402" xr:uid="{00000000-0005-0000-0000-000091010000}"/>
    <cellStyle name="60% - Accent3 9" xfId="403" xr:uid="{00000000-0005-0000-0000-000092010000}"/>
    <cellStyle name="60% - Accent4 10" xfId="404" xr:uid="{00000000-0005-0000-0000-000093010000}"/>
    <cellStyle name="60% - Accent4 11" xfId="405" xr:uid="{00000000-0005-0000-0000-000094010000}"/>
    <cellStyle name="60% - Accent4 12" xfId="406" xr:uid="{00000000-0005-0000-0000-000095010000}"/>
    <cellStyle name="60% - Accent4 13" xfId="407" xr:uid="{00000000-0005-0000-0000-000096010000}"/>
    <cellStyle name="60% - Accent4 2" xfId="408" xr:uid="{00000000-0005-0000-0000-000097010000}"/>
    <cellStyle name="60% - Accent4 2 2" xfId="409" xr:uid="{00000000-0005-0000-0000-000098010000}"/>
    <cellStyle name="60% - Accent4 2 3" xfId="410" xr:uid="{00000000-0005-0000-0000-000099010000}"/>
    <cellStyle name="60% - Accent4 3" xfId="411" xr:uid="{00000000-0005-0000-0000-00009A010000}"/>
    <cellStyle name="60% - Accent4 4" xfId="412" xr:uid="{00000000-0005-0000-0000-00009B010000}"/>
    <cellStyle name="60% - Accent4 5" xfId="413" xr:uid="{00000000-0005-0000-0000-00009C010000}"/>
    <cellStyle name="60% - Accent4 6" xfId="414" xr:uid="{00000000-0005-0000-0000-00009D010000}"/>
    <cellStyle name="60% - Accent4 7" xfId="415" xr:uid="{00000000-0005-0000-0000-00009E010000}"/>
    <cellStyle name="60% - Accent4 8" xfId="416" xr:uid="{00000000-0005-0000-0000-00009F010000}"/>
    <cellStyle name="60% - Accent4 9" xfId="417" xr:uid="{00000000-0005-0000-0000-0000A0010000}"/>
    <cellStyle name="60% - Accent5 10" xfId="418" xr:uid="{00000000-0005-0000-0000-0000A1010000}"/>
    <cellStyle name="60% - Accent5 11" xfId="419" xr:uid="{00000000-0005-0000-0000-0000A2010000}"/>
    <cellStyle name="60% - Accent5 12" xfId="420" xr:uid="{00000000-0005-0000-0000-0000A3010000}"/>
    <cellStyle name="60% - Accent5 13" xfId="421" xr:uid="{00000000-0005-0000-0000-0000A4010000}"/>
    <cellStyle name="60% - Accent5 2" xfId="422" xr:uid="{00000000-0005-0000-0000-0000A5010000}"/>
    <cellStyle name="60% - Accent5 2 2" xfId="423" xr:uid="{00000000-0005-0000-0000-0000A6010000}"/>
    <cellStyle name="60% - Accent5 2 3" xfId="424" xr:uid="{00000000-0005-0000-0000-0000A7010000}"/>
    <cellStyle name="60% - Accent5 3" xfId="425" xr:uid="{00000000-0005-0000-0000-0000A8010000}"/>
    <cellStyle name="60% - Accent5 4" xfId="426" xr:uid="{00000000-0005-0000-0000-0000A9010000}"/>
    <cellStyle name="60% - Accent5 5" xfId="427" xr:uid="{00000000-0005-0000-0000-0000AA010000}"/>
    <cellStyle name="60% - Accent5 6" xfId="428" xr:uid="{00000000-0005-0000-0000-0000AB010000}"/>
    <cellStyle name="60% - Accent5 7" xfId="429" xr:uid="{00000000-0005-0000-0000-0000AC010000}"/>
    <cellStyle name="60% - Accent5 8" xfId="430" xr:uid="{00000000-0005-0000-0000-0000AD010000}"/>
    <cellStyle name="60% - Accent5 9" xfId="431" xr:uid="{00000000-0005-0000-0000-0000AE010000}"/>
    <cellStyle name="60% - Accent6 10" xfId="432" xr:uid="{00000000-0005-0000-0000-0000AF010000}"/>
    <cellStyle name="60% - Accent6 11" xfId="433" xr:uid="{00000000-0005-0000-0000-0000B0010000}"/>
    <cellStyle name="60% - Accent6 12" xfId="434" xr:uid="{00000000-0005-0000-0000-0000B1010000}"/>
    <cellStyle name="60% - Accent6 13" xfId="435" xr:uid="{00000000-0005-0000-0000-0000B2010000}"/>
    <cellStyle name="60% - Accent6 2" xfId="436" xr:uid="{00000000-0005-0000-0000-0000B3010000}"/>
    <cellStyle name="60% - Accent6 2 2" xfId="437" xr:uid="{00000000-0005-0000-0000-0000B4010000}"/>
    <cellStyle name="60% - Accent6 2 3" xfId="438" xr:uid="{00000000-0005-0000-0000-0000B5010000}"/>
    <cellStyle name="60% - Accent6 3" xfId="439" xr:uid="{00000000-0005-0000-0000-0000B6010000}"/>
    <cellStyle name="60% - Accent6 4" xfId="440" xr:uid="{00000000-0005-0000-0000-0000B7010000}"/>
    <cellStyle name="60% - Accent6 5" xfId="441" xr:uid="{00000000-0005-0000-0000-0000B8010000}"/>
    <cellStyle name="60% - Accent6 6" xfId="442" xr:uid="{00000000-0005-0000-0000-0000B9010000}"/>
    <cellStyle name="60% - Accent6 7" xfId="443" xr:uid="{00000000-0005-0000-0000-0000BA010000}"/>
    <cellStyle name="60% - Accent6 8" xfId="444" xr:uid="{00000000-0005-0000-0000-0000BB010000}"/>
    <cellStyle name="60% - Accent6 9" xfId="445" xr:uid="{00000000-0005-0000-0000-0000BC010000}"/>
    <cellStyle name="60% - アクセント 1" xfId="446" xr:uid="{00000000-0005-0000-0000-0000BD010000}"/>
    <cellStyle name="60% - アクセント 1 10" xfId="447" xr:uid="{00000000-0005-0000-0000-0000BE010000}"/>
    <cellStyle name="60% - アクセント 1 11" xfId="448" xr:uid="{00000000-0005-0000-0000-0000BF010000}"/>
    <cellStyle name="60% - アクセント 1 12" xfId="449" xr:uid="{00000000-0005-0000-0000-0000C0010000}"/>
    <cellStyle name="60% - アクセント 1 13" xfId="450" xr:uid="{00000000-0005-0000-0000-0000C1010000}"/>
    <cellStyle name="60% - アクセント 1 2" xfId="451" xr:uid="{00000000-0005-0000-0000-0000C2010000}"/>
    <cellStyle name="60% - アクセント 1 3" xfId="452" xr:uid="{00000000-0005-0000-0000-0000C3010000}"/>
    <cellStyle name="60% - アクセント 1 4" xfId="453" xr:uid="{00000000-0005-0000-0000-0000C4010000}"/>
    <cellStyle name="60% - アクセント 1 5" xfId="454" xr:uid="{00000000-0005-0000-0000-0000C5010000}"/>
    <cellStyle name="60% - アクセント 1 6" xfId="455" xr:uid="{00000000-0005-0000-0000-0000C6010000}"/>
    <cellStyle name="60% - アクセント 1 7" xfId="456" xr:uid="{00000000-0005-0000-0000-0000C7010000}"/>
    <cellStyle name="60% - アクセント 1 8" xfId="457" xr:uid="{00000000-0005-0000-0000-0000C8010000}"/>
    <cellStyle name="60% - アクセント 1 9" xfId="458" xr:uid="{00000000-0005-0000-0000-0000C9010000}"/>
    <cellStyle name="60% - アクセント 2" xfId="459" xr:uid="{00000000-0005-0000-0000-0000CA010000}"/>
    <cellStyle name="60% - アクセント 2 10" xfId="460" xr:uid="{00000000-0005-0000-0000-0000CB010000}"/>
    <cellStyle name="60% - アクセント 2 11" xfId="461" xr:uid="{00000000-0005-0000-0000-0000CC010000}"/>
    <cellStyle name="60% - アクセント 2 12" xfId="462" xr:uid="{00000000-0005-0000-0000-0000CD010000}"/>
    <cellStyle name="60% - アクセント 2 13" xfId="463" xr:uid="{00000000-0005-0000-0000-0000CE010000}"/>
    <cellStyle name="60% - アクセント 2 2" xfId="464" xr:uid="{00000000-0005-0000-0000-0000CF010000}"/>
    <cellStyle name="60% - アクセント 2 3" xfId="465" xr:uid="{00000000-0005-0000-0000-0000D0010000}"/>
    <cellStyle name="60% - アクセント 2 4" xfId="466" xr:uid="{00000000-0005-0000-0000-0000D1010000}"/>
    <cellStyle name="60% - アクセント 2 5" xfId="467" xr:uid="{00000000-0005-0000-0000-0000D2010000}"/>
    <cellStyle name="60% - アクセント 2 6" xfId="468" xr:uid="{00000000-0005-0000-0000-0000D3010000}"/>
    <cellStyle name="60% - アクセント 2 7" xfId="469" xr:uid="{00000000-0005-0000-0000-0000D4010000}"/>
    <cellStyle name="60% - アクセント 2 8" xfId="470" xr:uid="{00000000-0005-0000-0000-0000D5010000}"/>
    <cellStyle name="60% - アクセント 2 9" xfId="471" xr:uid="{00000000-0005-0000-0000-0000D6010000}"/>
    <cellStyle name="60% - アクセント 3" xfId="472" xr:uid="{00000000-0005-0000-0000-0000D7010000}"/>
    <cellStyle name="60% - アクセント 3 10" xfId="473" xr:uid="{00000000-0005-0000-0000-0000D8010000}"/>
    <cellStyle name="60% - アクセント 3 11" xfId="474" xr:uid="{00000000-0005-0000-0000-0000D9010000}"/>
    <cellStyle name="60% - アクセント 3 12" xfId="475" xr:uid="{00000000-0005-0000-0000-0000DA010000}"/>
    <cellStyle name="60% - アクセント 3 13" xfId="476" xr:uid="{00000000-0005-0000-0000-0000DB010000}"/>
    <cellStyle name="60% - アクセント 3 2" xfId="477" xr:uid="{00000000-0005-0000-0000-0000DC010000}"/>
    <cellStyle name="60% - アクセント 3 3" xfId="478" xr:uid="{00000000-0005-0000-0000-0000DD010000}"/>
    <cellStyle name="60% - アクセント 3 4" xfId="479" xr:uid="{00000000-0005-0000-0000-0000DE010000}"/>
    <cellStyle name="60% - アクセント 3 5" xfId="480" xr:uid="{00000000-0005-0000-0000-0000DF010000}"/>
    <cellStyle name="60% - アクセント 3 6" xfId="481" xr:uid="{00000000-0005-0000-0000-0000E0010000}"/>
    <cellStyle name="60% - アクセント 3 7" xfId="482" xr:uid="{00000000-0005-0000-0000-0000E1010000}"/>
    <cellStyle name="60% - アクセント 3 8" xfId="483" xr:uid="{00000000-0005-0000-0000-0000E2010000}"/>
    <cellStyle name="60% - アクセント 3 9" xfId="484" xr:uid="{00000000-0005-0000-0000-0000E3010000}"/>
    <cellStyle name="60% - アクセント 4" xfId="485" xr:uid="{00000000-0005-0000-0000-0000E4010000}"/>
    <cellStyle name="60% - アクセント 4 10" xfId="486" xr:uid="{00000000-0005-0000-0000-0000E5010000}"/>
    <cellStyle name="60% - アクセント 4 11" xfId="487" xr:uid="{00000000-0005-0000-0000-0000E6010000}"/>
    <cellStyle name="60% - アクセント 4 12" xfId="488" xr:uid="{00000000-0005-0000-0000-0000E7010000}"/>
    <cellStyle name="60% - アクセント 4 13" xfId="489" xr:uid="{00000000-0005-0000-0000-0000E8010000}"/>
    <cellStyle name="60% - アクセント 4 2" xfId="490" xr:uid="{00000000-0005-0000-0000-0000E9010000}"/>
    <cellStyle name="60% - アクセント 4 3" xfId="491" xr:uid="{00000000-0005-0000-0000-0000EA010000}"/>
    <cellStyle name="60% - アクセント 4 4" xfId="492" xr:uid="{00000000-0005-0000-0000-0000EB010000}"/>
    <cellStyle name="60% - アクセント 4 5" xfId="493" xr:uid="{00000000-0005-0000-0000-0000EC010000}"/>
    <cellStyle name="60% - アクセント 4 6" xfId="494" xr:uid="{00000000-0005-0000-0000-0000ED010000}"/>
    <cellStyle name="60% - アクセント 4 7" xfId="495" xr:uid="{00000000-0005-0000-0000-0000EE010000}"/>
    <cellStyle name="60% - アクセント 4 8" xfId="496" xr:uid="{00000000-0005-0000-0000-0000EF010000}"/>
    <cellStyle name="60% - アクセント 4 9" xfId="497" xr:uid="{00000000-0005-0000-0000-0000F0010000}"/>
    <cellStyle name="60% - アクセント 5" xfId="498" xr:uid="{00000000-0005-0000-0000-0000F1010000}"/>
    <cellStyle name="60% - アクセント 5 10" xfId="499" xr:uid="{00000000-0005-0000-0000-0000F2010000}"/>
    <cellStyle name="60% - アクセント 5 11" xfId="500" xr:uid="{00000000-0005-0000-0000-0000F3010000}"/>
    <cellStyle name="60% - アクセント 5 12" xfId="501" xr:uid="{00000000-0005-0000-0000-0000F4010000}"/>
    <cellStyle name="60% - アクセント 5 13" xfId="502" xr:uid="{00000000-0005-0000-0000-0000F5010000}"/>
    <cellStyle name="60% - アクセント 5 2" xfId="503" xr:uid="{00000000-0005-0000-0000-0000F6010000}"/>
    <cellStyle name="60% - アクセント 5 3" xfId="504" xr:uid="{00000000-0005-0000-0000-0000F7010000}"/>
    <cellStyle name="60% - アクセント 5 4" xfId="505" xr:uid="{00000000-0005-0000-0000-0000F8010000}"/>
    <cellStyle name="60% - アクセント 5 5" xfId="506" xr:uid="{00000000-0005-0000-0000-0000F9010000}"/>
    <cellStyle name="60% - アクセント 5 6" xfId="507" xr:uid="{00000000-0005-0000-0000-0000FA010000}"/>
    <cellStyle name="60% - アクセント 5 7" xfId="508" xr:uid="{00000000-0005-0000-0000-0000FB010000}"/>
    <cellStyle name="60% - アクセント 5 8" xfId="509" xr:uid="{00000000-0005-0000-0000-0000FC010000}"/>
    <cellStyle name="60% - アクセント 5 9" xfId="510" xr:uid="{00000000-0005-0000-0000-0000FD010000}"/>
    <cellStyle name="60% - アクセント 6" xfId="511" xr:uid="{00000000-0005-0000-0000-0000FE010000}"/>
    <cellStyle name="60% - アクセント 6 10" xfId="512" xr:uid="{00000000-0005-0000-0000-0000FF010000}"/>
    <cellStyle name="60% - アクセント 6 11" xfId="513" xr:uid="{00000000-0005-0000-0000-000000020000}"/>
    <cellStyle name="60% - アクセント 6 12" xfId="514" xr:uid="{00000000-0005-0000-0000-000001020000}"/>
    <cellStyle name="60% - アクセント 6 13" xfId="515" xr:uid="{00000000-0005-0000-0000-000002020000}"/>
    <cellStyle name="60% - アクセント 6 2" xfId="516" xr:uid="{00000000-0005-0000-0000-000003020000}"/>
    <cellStyle name="60% - アクセント 6 3" xfId="517" xr:uid="{00000000-0005-0000-0000-000004020000}"/>
    <cellStyle name="60% - アクセント 6 4" xfId="518" xr:uid="{00000000-0005-0000-0000-000005020000}"/>
    <cellStyle name="60% - アクセント 6 5" xfId="519" xr:uid="{00000000-0005-0000-0000-000006020000}"/>
    <cellStyle name="60% - アクセント 6 6" xfId="520" xr:uid="{00000000-0005-0000-0000-000007020000}"/>
    <cellStyle name="60% - アクセント 6 7" xfId="521" xr:uid="{00000000-0005-0000-0000-000008020000}"/>
    <cellStyle name="60% - アクセント 6 8" xfId="522" xr:uid="{00000000-0005-0000-0000-000009020000}"/>
    <cellStyle name="60% - アクセント 6 9" xfId="523" xr:uid="{00000000-0005-0000-0000-00000A020000}"/>
    <cellStyle name="Accent1 10" xfId="524" xr:uid="{00000000-0005-0000-0000-00000B020000}"/>
    <cellStyle name="Accent1 11" xfId="525" xr:uid="{00000000-0005-0000-0000-00000C020000}"/>
    <cellStyle name="Accent1 12" xfId="526" xr:uid="{00000000-0005-0000-0000-00000D020000}"/>
    <cellStyle name="Accent1 13" xfId="527" xr:uid="{00000000-0005-0000-0000-00000E020000}"/>
    <cellStyle name="Accent1 2" xfId="528" xr:uid="{00000000-0005-0000-0000-00000F020000}"/>
    <cellStyle name="Accent1 2 2" xfId="529" xr:uid="{00000000-0005-0000-0000-000010020000}"/>
    <cellStyle name="Accent1 2 3" xfId="530" xr:uid="{00000000-0005-0000-0000-000011020000}"/>
    <cellStyle name="Accent1 3" xfId="531" xr:uid="{00000000-0005-0000-0000-000012020000}"/>
    <cellStyle name="Accent1 4" xfId="532" xr:uid="{00000000-0005-0000-0000-000013020000}"/>
    <cellStyle name="Accent1 5" xfId="533" xr:uid="{00000000-0005-0000-0000-000014020000}"/>
    <cellStyle name="Accent1 6" xfId="534" xr:uid="{00000000-0005-0000-0000-000015020000}"/>
    <cellStyle name="Accent1 7" xfId="535" xr:uid="{00000000-0005-0000-0000-000016020000}"/>
    <cellStyle name="Accent1 8" xfId="536" xr:uid="{00000000-0005-0000-0000-000017020000}"/>
    <cellStyle name="Accent1 9" xfId="537" xr:uid="{00000000-0005-0000-0000-000018020000}"/>
    <cellStyle name="Accent2 10" xfId="538" xr:uid="{00000000-0005-0000-0000-000019020000}"/>
    <cellStyle name="Accent2 11" xfId="539" xr:uid="{00000000-0005-0000-0000-00001A020000}"/>
    <cellStyle name="Accent2 12" xfId="540" xr:uid="{00000000-0005-0000-0000-00001B020000}"/>
    <cellStyle name="Accent2 13" xfId="541" xr:uid="{00000000-0005-0000-0000-00001C020000}"/>
    <cellStyle name="Accent2 2" xfId="542" xr:uid="{00000000-0005-0000-0000-00001D020000}"/>
    <cellStyle name="Accent2 2 2" xfId="543" xr:uid="{00000000-0005-0000-0000-00001E020000}"/>
    <cellStyle name="Accent2 2 3" xfId="544" xr:uid="{00000000-0005-0000-0000-00001F020000}"/>
    <cellStyle name="Accent2 3" xfId="545" xr:uid="{00000000-0005-0000-0000-000020020000}"/>
    <cellStyle name="Accent2 4" xfId="546" xr:uid="{00000000-0005-0000-0000-000021020000}"/>
    <cellStyle name="Accent2 5" xfId="547" xr:uid="{00000000-0005-0000-0000-000022020000}"/>
    <cellStyle name="Accent2 6" xfId="548" xr:uid="{00000000-0005-0000-0000-000023020000}"/>
    <cellStyle name="Accent2 7" xfId="549" xr:uid="{00000000-0005-0000-0000-000024020000}"/>
    <cellStyle name="Accent2 8" xfId="550" xr:uid="{00000000-0005-0000-0000-000025020000}"/>
    <cellStyle name="Accent2 9" xfId="551" xr:uid="{00000000-0005-0000-0000-000026020000}"/>
    <cellStyle name="Accent3 10" xfId="552" xr:uid="{00000000-0005-0000-0000-000027020000}"/>
    <cellStyle name="Accent3 11" xfId="553" xr:uid="{00000000-0005-0000-0000-000028020000}"/>
    <cellStyle name="Accent3 12" xfId="554" xr:uid="{00000000-0005-0000-0000-000029020000}"/>
    <cellStyle name="Accent3 13" xfId="555" xr:uid="{00000000-0005-0000-0000-00002A020000}"/>
    <cellStyle name="Accent3 2" xfId="556" xr:uid="{00000000-0005-0000-0000-00002B020000}"/>
    <cellStyle name="Accent3 2 2" xfId="557" xr:uid="{00000000-0005-0000-0000-00002C020000}"/>
    <cellStyle name="Accent3 2 3" xfId="558" xr:uid="{00000000-0005-0000-0000-00002D020000}"/>
    <cellStyle name="Accent3 3" xfId="559" xr:uid="{00000000-0005-0000-0000-00002E020000}"/>
    <cellStyle name="Accent3 4" xfId="560" xr:uid="{00000000-0005-0000-0000-00002F020000}"/>
    <cellStyle name="Accent3 5" xfId="561" xr:uid="{00000000-0005-0000-0000-000030020000}"/>
    <cellStyle name="Accent3 6" xfId="562" xr:uid="{00000000-0005-0000-0000-000031020000}"/>
    <cellStyle name="Accent3 7" xfId="563" xr:uid="{00000000-0005-0000-0000-000032020000}"/>
    <cellStyle name="Accent3 8" xfId="564" xr:uid="{00000000-0005-0000-0000-000033020000}"/>
    <cellStyle name="Accent3 9" xfId="565" xr:uid="{00000000-0005-0000-0000-000034020000}"/>
    <cellStyle name="Accent4 10" xfId="566" xr:uid="{00000000-0005-0000-0000-000035020000}"/>
    <cellStyle name="Accent4 11" xfId="567" xr:uid="{00000000-0005-0000-0000-000036020000}"/>
    <cellStyle name="Accent4 12" xfId="568" xr:uid="{00000000-0005-0000-0000-000037020000}"/>
    <cellStyle name="Accent4 13" xfId="569" xr:uid="{00000000-0005-0000-0000-000038020000}"/>
    <cellStyle name="Accent4 2" xfId="570" xr:uid="{00000000-0005-0000-0000-000039020000}"/>
    <cellStyle name="Accent4 2 2" xfId="571" xr:uid="{00000000-0005-0000-0000-00003A020000}"/>
    <cellStyle name="Accent4 2 3" xfId="572" xr:uid="{00000000-0005-0000-0000-00003B020000}"/>
    <cellStyle name="Accent4 3" xfId="573" xr:uid="{00000000-0005-0000-0000-00003C020000}"/>
    <cellStyle name="Accent4 4" xfId="574" xr:uid="{00000000-0005-0000-0000-00003D020000}"/>
    <cellStyle name="Accent4 5" xfId="575" xr:uid="{00000000-0005-0000-0000-00003E020000}"/>
    <cellStyle name="Accent4 6" xfId="576" xr:uid="{00000000-0005-0000-0000-00003F020000}"/>
    <cellStyle name="Accent4 7" xfId="577" xr:uid="{00000000-0005-0000-0000-000040020000}"/>
    <cellStyle name="Accent4 8" xfId="578" xr:uid="{00000000-0005-0000-0000-000041020000}"/>
    <cellStyle name="Accent4 9" xfId="579" xr:uid="{00000000-0005-0000-0000-000042020000}"/>
    <cellStyle name="Accent5 10" xfId="580" xr:uid="{00000000-0005-0000-0000-000043020000}"/>
    <cellStyle name="Accent5 11" xfId="581" xr:uid="{00000000-0005-0000-0000-000044020000}"/>
    <cellStyle name="Accent5 12" xfId="582" xr:uid="{00000000-0005-0000-0000-000045020000}"/>
    <cellStyle name="Accent5 13" xfId="583" xr:uid="{00000000-0005-0000-0000-000046020000}"/>
    <cellStyle name="Accent5 2" xfId="584" xr:uid="{00000000-0005-0000-0000-000047020000}"/>
    <cellStyle name="Accent5 2 2" xfId="585" xr:uid="{00000000-0005-0000-0000-000048020000}"/>
    <cellStyle name="Accent5 2 3" xfId="586" xr:uid="{00000000-0005-0000-0000-000049020000}"/>
    <cellStyle name="Accent5 3" xfId="587" xr:uid="{00000000-0005-0000-0000-00004A020000}"/>
    <cellStyle name="Accent5 4" xfId="588" xr:uid="{00000000-0005-0000-0000-00004B020000}"/>
    <cellStyle name="Accent5 5" xfId="589" xr:uid="{00000000-0005-0000-0000-00004C020000}"/>
    <cellStyle name="Accent5 6" xfId="590" xr:uid="{00000000-0005-0000-0000-00004D020000}"/>
    <cellStyle name="Accent5 7" xfId="591" xr:uid="{00000000-0005-0000-0000-00004E020000}"/>
    <cellStyle name="Accent5 8" xfId="592" xr:uid="{00000000-0005-0000-0000-00004F020000}"/>
    <cellStyle name="Accent5 9" xfId="593" xr:uid="{00000000-0005-0000-0000-000050020000}"/>
    <cellStyle name="Accent6 10" xfId="594" xr:uid="{00000000-0005-0000-0000-000051020000}"/>
    <cellStyle name="Accent6 11" xfId="595" xr:uid="{00000000-0005-0000-0000-000052020000}"/>
    <cellStyle name="Accent6 12" xfId="596" xr:uid="{00000000-0005-0000-0000-000053020000}"/>
    <cellStyle name="Accent6 13" xfId="597" xr:uid="{00000000-0005-0000-0000-000054020000}"/>
    <cellStyle name="Accent6 2" xfId="598" xr:uid="{00000000-0005-0000-0000-000055020000}"/>
    <cellStyle name="Accent6 2 2" xfId="599" xr:uid="{00000000-0005-0000-0000-000056020000}"/>
    <cellStyle name="Accent6 2 3" xfId="600" xr:uid="{00000000-0005-0000-0000-000057020000}"/>
    <cellStyle name="Accent6 3" xfId="601" xr:uid="{00000000-0005-0000-0000-000058020000}"/>
    <cellStyle name="Accent6 4" xfId="602" xr:uid="{00000000-0005-0000-0000-000059020000}"/>
    <cellStyle name="Accent6 5" xfId="603" xr:uid="{00000000-0005-0000-0000-00005A020000}"/>
    <cellStyle name="Accent6 6" xfId="604" xr:uid="{00000000-0005-0000-0000-00005B020000}"/>
    <cellStyle name="Accent6 7" xfId="605" xr:uid="{00000000-0005-0000-0000-00005C020000}"/>
    <cellStyle name="Accent6 8" xfId="606" xr:uid="{00000000-0005-0000-0000-00005D020000}"/>
    <cellStyle name="Accent6 9" xfId="607" xr:uid="{00000000-0005-0000-0000-00005E020000}"/>
    <cellStyle name="ÅëÈ­ [0]_¿ì¹°Åë" xfId="608" xr:uid="{00000000-0005-0000-0000-00005F020000}"/>
    <cellStyle name="AeE­ [0]_INQUIRY ¿?¾÷AßAø " xfId="609" xr:uid="{00000000-0005-0000-0000-000060020000}"/>
    <cellStyle name="ÅëÈ­ [0]_laroux" xfId="610" xr:uid="{00000000-0005-0000-0000-000061020000}"/>
    <cellStyle name="ÅëÈ­_¿ì¹°Åë" xfId="611" xr:uid="{00000000-0005-0000-0000-000062020000}"/>
    <cellStyle name="AeE­_INQUIRY ¿?¾÷AßAø " xfId="612" xr:uid="{00000000-0005-0000-0000-000063020000}"/>
    <cellStyle name="ÅëÈ­_laroux" xfId="613" xr:uid="{00000000-0005-0000-0000-000064020000}"/>
    <cellStyle name="ÄÞ¸¶ [0]_¿ì¹°Åë" xfId="614" xr:uid="{00000000-0005-0000-0000-000065020000}"/>
    <cellStyle name="AÞ¸¶ [0]_INQUIRY ¿?¾÷AßAø " xfId="615" xr:uid="{00000000-0005-0000-0000-000066020000}"/>
    <cellStyle name="ÄÞ¸¶_¿ì¹°Åë" xfId="616" xr:uid="{00000000-0005-0000-0000-000067020000}"/>
    <cellStyle name="AÞ¸¶_INQUIRY ¿?¾÷AßAø " xfId="617" xr:uid="{00000000-0005-0000-0000-000068020000}"/>
    <cellStyle name="Bad 10" xfId="618" xr:uid="{00000000-0005-0000-0000-000069020000}"/>
    <cellStyle name="Bad 11" xfId="619" xr:uid="{00000000-0005-0000-0000-00006A020000}"/>
    <cellStyle name="Bad 12" xfId="620" xr:uid="{00000000-0005-0000-0000-00006B020000}"/>
    <cellStyle name="Bad 13" xfId="621" xr:uid="{00000000-0005-0000-0000-00006C020000}"/>
    <cellStyle name="Bad 2" xfId="622" xr:uid="{00000000-0005-0000-0000-00006D020000}"/>
    <cellStyle name="Bad 2 2" xfId="623" xr:uid="{00000000-0005-0000-0000-00006E020000}"/>
    <cellStyle name="Bad 2 3" xfId="624" xr:uid="{00000000-0005-0000-0000-00006F020000}"/>
    <cellStyle name="Bad 3" xfId="625" xr:uid="{00000000-0005-0000-0000-000070020000}"/>
    <cellStyle name="Bad 4" xfId="626" xr:uid="{00000000-0005-0000-0000-000071020000}"/>
    <cellStyle name="Bad 5" xfId="627" xr:uid="{00000000-0005-0000-0000-000072020000}"/>
    <cellStyle name="Bad 6" xfId="628" xr:uid="{00000000-0005-0000-0000-000073020000}"/>
    <cellStyle name="Bad 7" xfId="629" xr:uid="{00000000-0005-0000-0000-000074020000}"/>
    <cellStyle name="Bad 8" xfId="630" xr:uid="{00000000-0005-0000-0000-000075020000}"/>
    <cellStyle name="Bad 9" xfId="631" xr:uid="{00000000-0005-0000-0000-000076020000}"/>
    <cellStyle name="Body" xfId="632" xr:uid="{00000000-0005-0000-0000-000077020000}"/>
    <cellStyle name="C?AØ_¿?¾÷CoE² " xfId="633" xr:uid="{00000000-0005-0000-0000-000078020000}"/>
    <cellStyle name="Ç¥ÁØ_´çÃÊ±¸ÀÔ»ý»ê" xfId="634" xr:uid="{00000000-0005-0000-0000-000079020000}"/>
    <cellStyle name="C￥AØ_¿μ¾÷CoE² " xfId="635" xr:uid="{00000000-0005-0000-0000-00007A020000}"/>
    <cellStyle name="Calc Currency (0)" xfId="636" xr:uid="{00000000-0005-0000-0000-00007B020000}"/>
    <cellStyle name="Calc Currency (0) 2" xfId="637" xr:uid="{00000000-0005-0000-0000-00007C020000}"/>
    <cellStyle name="Calc Currency (0) 3" xfId="638" xr:uid="{00000000-0005-0000-0000-00007D020000}"/>
    <cellStyle name="Calc Currency (0)_Gui Ha" xfId="639" xr:uid="{00000000-0005-0000-0000-00007E020000}"/>
    <cellStyle name="Calculation 10" xfId="640" xr:uid="{00000000-0005-0000-0000-00007F020000}"/>
    <cellStyle name="Calculation 11" xfId="641" xr:uid="{00000000-0005-0000-0000-000080020000}"/>
    <cellStyle name="Calculation 12" xfId="642" xr:uid="{00000000-0005-0000-0000-000081020000}"/>
    <cellStyle name="Calculation 13" xfId="643" xr:uid="{00000000-0005-0000-0000-000082020000}"/>
    <cellStyle name="Calculation 2" xfId="644" xr:uid="{00000000-0005-0000-0000-000083020000}"/>
    <cellStyle name="Calculation 2 2" xfId="645" xr:uid="{00000000-0005-0000-0000-000084020000}"/>
    <cellStyle name="Calculation 2 3" xfId="646" xr:uid="{00000000-0005-0000-0000-000085020000}"/>
    <cellStyle name="Calculation 3" xfId="647" xr:uid="{00000000-0005-0000-0000-000086020000}"/>
    <cellStyle name="Calculation 4" xfId="648" xr:uid="{00000000-0005-0000-0000-000087020000}"/>
    <cellStyle name="Calculation 5" xfId="649" xr:uid="{00000000-0005-0000-0000-000088020000}"/>
    <cellStyle name="Calculation 6" xfId="650" xr:uid="{00000000-0005-0000-0000-000089020000}"/>
    <cellStyle name="Calculation 7" xfId="651" xr:uid="{00000000-0005-0000-0000-00008A020000}"/>
    <cellStyle name="Calculation 8" xfId="652" xr:uid="{00000000-0005-0000-0000-00008B020000}"/>
    <cellStyle name="Calculation 9" xfId="653" xr:uid="{00000000-0005-0000-0000-00008C020000}"/>
    <cellStyle name="category" xfId="654" xr:uid="{00000000-0005-0000-0000-00008D020000}"/>
    <cellStyle name="Change A&amp;ll" xfId="655" xr:uid="{00000000-0005-0000-0000-00008E020000}"/>
    <cellStyle name="Check Cell 10" xfId="656" xr:uid="{00000000-0005-0000-0000-00008F020000}"/>
    <cellStyle name="Check Cell 11" xfId="657" xr:uid="{00000000-0005-0000-0000-000090020000}"/>
    <cellStyle name="Check Cell 12" xfId="658" xr:uid="{00000000-0005-0000-0000-000091020000}"/>
    <cellStyle name="Check Cell 13" xfId="659" xr:uid="{00000000-0005-0000-0000-000092020000}"/>
    <cellStyle name="Check Cell 2" xfId="660" xr:uid="{00000000-0005-0000-0000-000093020000}"/>
    <cellStyle name="Check Cell 2 2" xfId="661" xr:uid="{00000000-0005-0000-0000-000094020000}"/>
    <cellStyle name="Check Cell 2 3" xfId="662" xr:uid="{00000000-0005-0000-0000-000095020000}"/>
    <cellStyle name="Check Cell 3" xfId="663" xr:uid="{00000000-0005-0000-0000-000096020000}"/>
    <cellStyle name="Check Cell 4" xfId="664" xr:uid="{00000000-0005-0000-0000-000097020000}"/>
    <cellStyle name="Check Cell 5" xfId="665" xr:uid="{00000000-0005-0000-0000-000098020000}"/>
    <cellStyle name="Check Cell 6" xfId="666" xr:uid="{00000000-0005-0000-0000-000099020000}"/>
    <cellStyle name="Check Cell 7" xfId="667" xr:uid="{00000000-0005-0000-0000-00009A020000}"/>
    <cellStyle name="Check Cell 8" xfId="668" xr:uid="{00000000-0005-0000-0000-00009B020000}"/>
    <cellStyle name="Check Cell 9" xfId="669" xr:uid="{00000000-0005-0000-0000-00009C020000}"/>
    <cellStyle name="Chi phÝ kh¸c_Book1" xfId="670" xr:uid="{00000000-0005-0000-0000-00009D020000}"/>
    <cellStyle name="Comma" xfId="671" builtinId="3"/>
    <cellStyle name="Comma [0] 10" xfId="672" xr:uid="{00000000-0005-0000-0000-00009F020000}"/>
    <cellStyle name="Comma [0] 11" xfId="673" xr:uid="{00000000-0005-0000-0000-0000A0020000}"/>
    <cellStyle name="Comma [0] 12" xfId="674" xr:uid="{00000000-0005-0000-0000-0000A1020000}"/>
    <cellStyle name="Comma [0] 13" xfId="675" xr:uid="{00000000-0005-0000-0000-0000A2020000}"/>
    <cellStyle name="Comma [0] 2" xfId="676" xr:uid="{00000000-0005-0000-0000-0000A3020000}"/>
    <cellStyle name="Comma [0] 2 2" xfId="677" xr:uid="{00000000-0005-0000-0000-0000A4020000}"/>
    <cellStyle name="Comma [0] 2 3" xfId="678" xr:uid="{00000000-0005-0000-0000-0000A5020000}"/>
    <cellStyle name="Comma [0] 2 4" xfId="679" xr:uid="{00000000-0005-0000-0000-0000A6020000}"/>
    <cellStyle name="Comma [0] 3" xfId="680" xr:uid="{00000000-0005-0000-0000-0000A7020000}"/>
    <cellStyle name="Comma [0] 34" xfId="681" xr:uid="{00000000-0005-0000-0000-0000A8020000}"/>
    <cellStyle name="Comma [0] 34 2" xfId="682" xr:uid="{00000000-0005-0000-0000-0000A9020000}"/>
    <cellStyle name="Comma [0] 34 3" xfId="683" xr:uid="{00000000-0005-0000-0000-0000AA020000}"/>
    <cellStyle name="Comma [0] 4" xfId="684" xr:uid="{00000000-0005-0000-0000-0000AB020000}"/>
    <cellStyle name="Comma [0] 5" xfId="685" xr:uid="{00000000-0005-0000-0000-0000AC020000}"/>
    <cellStyle name="Comma [0] 6" xfId="686" xr:uid="{00000000-0005-0000-0000-0000AD020000}"/>
    <cellStyle name="Comma [0] 7" xfId="687" xr:uid="{00000000-0005-0000-0000-0000AE020000}"/>
    <cellStyle name="Comma [0] 8" xfId="688" xr:uid="{00000000-0005-0000-0000-0000AF020000}"/>
    <cellStyle name="Comma [0] 9" xfId="689" xr:uid="{00000000-0005-0000-0000-0000B0020000}"/>
    <cellStyle name="Comma 10" xfId="690" xr:uid="{00000000-0005-0000-0000-0000B1020000}"/>
    <cellStyle name="Comma 10 2" xfId="691" xr:uid="{00000000-0005-0000-0000-0000B2020000}"/>
    <cellStyle name="Comma 10 2 2" xfId="692" xr:uid="{00000000-0005-0000-0000-0000B3020000}"/>
    <cellStyle name="Comma 10 3" xfId="693" xr:uid="{00000000-0005-0000-0000-0000B4020000}"/>
    <cellStyle name="Comma 10 4" xfId="694" xr:uid="{00000000-0005-0000-0000-0000B5020000}"/>
    <cellStyle name="Comma 10 5" xfId="695" xr:uid="{00000000-0005-0000-0000-0000B6020000}"/>
    <cellStyle name="Comma 10 5 2" xfId="696" xr:uid="{00000000-0005-0000-0000-0000B7020000}"/>
    <cellStyle name="Comma 10 5 3" xfId="697" xr:uid="{00000000-0005-0000-0000-0000B8020000}"/>
    <cellStyle name="Comma 10 6" xfId="698" xr:uid="{00000000-0005-0000-0000-0000B9020000}"/>
    <cellStyle name="Comma 10_PM T9 -revised Q3 1.0.xls-adjust G11+FSJ" xfId="699" xr:uid="{00000000-0005-0000-0000-0000BA020000}"/>
    <cellStyle name="Comma 11" xfId="700" xr:uid="{00000000-0005-0000-0000-0000BB020000}"/>
    <cellStyle name="Comma 11 2" xfId="701" xr:uid="{00000000-0005-0000-0000-0000BC020000}"/>
    <cellStyle name="Comma 11_PM T9 -revised Q3 1.0.xls-adjust G11+FSJ" xfId="702" xr:uid="{00000000-0005-0000-0000-0000BD020000}"/>
    <cellStyle name="Comma 12" xfId="703" xr:uid="{00000000-0005-0000-0000-0000BE020000}"/>
    <cellStyle name="Comma 12 2" xfId="704" xr:uid="{00000000-0005-0000-0000-0000BF020000}"/>
    <cellStyle name="Comma 13" xfId="705" xr:uid="{00000000-0005-0000-0000-0000C0020000}"/>
    <cellStyle name="Comma 14" xfId="706" xr:uid="{00000000-0005-0000-0000-0000C1020000}"/>
    <cellStyle name="Comma 15" xfId="707" xr:uid="{00000000-0005-0000-0000-0000C2020000}"/>
    <cellStyle name="Comma 16" xfId="708" xr:uid="{00000000-0005-0000-0000-0000C3020000}"/>
    <cellStyle name="Comma 17" xfId="709" xr:uid="{00000000-0005-0000-0000-0000C4020000}"/>
    <cellStyle name="Comma 18" xfId="710" xr:uid="{00000000-0005-0000-0000-0000C5020000}"/>
    <cellStyle name="Comma 19" xfId="711" xr:uid="{00000000-0005-0000-0000-0000C6020000}"/>
    <cellStyle name="Comma 2" xfId="712" xr:uid="{00000000-0005-0000-0000-0000C7020000}"/>
    <cellStyle name="Comma 2 10" xfId="713" xr:uid="{00000000-0005-0000-0000-0000C8020000}"/>
    <cellStyle name="Comma 2 11" xfId="714" xr:uid="{00000000-0005-0000-0000-0000C9020000}"/>
    <cellStyle name="Comma 2 11 2" xfId="715" xr:uid="{00000000-0005-0000-0000-0000CA020000}"/>
    <cellStyle name="Comma 2 11 2 2" xfId="716" xr:uid="{00000000-0005-0000-0000-0000CB020000}"/>
    <cellStyle name="Comma 2 11 2 3" xfId="717" xr:uid="{00000000-0005-0000-0000-0000CC020000}"/>
    <cellStyle name="Comma 2 11 2 4" xfId="718" xr:uid="{00000000-0005-0000-0000-0000CD020000}"/>
    <cellStyle name="Comma 2 11 3" xfId="719" xr:uid="{00000000-0005-0000-0000-0000CE020000}"/>
    <cellStyle name="Comma 2 12" xfId="720" xr:uid="{00000000-0005-0000-0000-0000CF020000}"/>
    <cellStyle name="Comma 2 13" xfId="721" xr:uid="{00000000-0005-0000-0000-0000D0020000}"/>
    <cellStyle name="Comma 2 14" xfId="722" xr:uid="{00000000-0005-0000-0000-0000D1020000}"/>
    <cellStyle name="Comma 2 15" xfId="723" xr:uid="{00000000-0005-0000-0000-0000D2020000}"/>
    <cellStyle name="Comma 2 16" xfId="724" xr:uid="{00000000-0005-0000-0000-0000D3020000}"/>
    <cellStyle name="Comma 2 17" xfId="725" xr:uid="{00000000-0005-0000-0000-0000D4020000}"/>
    <cellStyle name="Comma 2 18" xfId="726" xr:uid="{00000000-0005-0000-0000-0000D5020000}"/>
    <cellStyle name="Comma 2 19" xfId="727" xr:uid="{00000000-0005-0000-0000-0000D6020000}"/>
    <cellStyle name="Comma 2 2" xfId="728" xr:uid="{00000000-0005-0000-0000-0000D7020000}"/>
    <cellStyle name="Comma 2 2 10" xfId="729" xr:uid="{00000000-0005-0000-0000-0000D8020000}"/>
    <cellStyle name="Comma 2 2 10 2" xfId="730" xr:uid="{00000000-0005-0000-0000-0000D9020000}"/>
    <cellStyle name="Comma 2 2 10 2 2" xfId="731" xr:uid="{00000000-0005-0000-0000-0000DA020000}"/>
    <cellStyle name="Comma 2 2 10 2 3" xfId="732" xr:uid="{00000000-0005-0000-0000-0000DB020000}"/>
    <cellStyle name="Comma 2 2 10 3" xfId="733" xr:uid="{00000000-0005-0000-0000-0000DC020000}"/>
    <cellStyle name="Comma 2 2 11" xfId="734" xr:uid="{00000000-0005-0000-0000-0000DD020000}"/>
    <cellStyle name="Comma 2 2 11 2" xfId="735" xr:uid="{00000000-0005-0000-0000-0000DE020000}"/>
    <cellStyle name="Comma 2 2 11 2 2" xfId="736" xr:uid="{00000000-0005-0000-0000-0000DF020000}"/>
    <cellStyle name="Comma 2 2 11 2 3" xfId="737" xr:uid="{00000000-0005-0000-0000-0000E0020000}"/>
    <cellStyle name="Comma 2 2 11 3" xfId="738" xr:uid="{00000000-0005-0000-0000-0000E1020000}"/>
    <cellStyle name="Comma 2 2 12" xfId="739" xr:uid="{00000000-0005-0000-0000-0000E2020000}"/>
    <cellStyle name="Comma 2 2 12 2" xfId="740" xr:uid="{00000000-0005-0000-0000-0000E3020000}"/>
    <cellStyle name="Comma 2 2 12 2 2" xfId="741" xr:uid="{00000000-0005-0000-0000-0000E4020000}"/>
    <cellStyle name="Comma 2 2 12 2 3" xfId="742" xr:uid="{00000000-0005-0000-0000-0000E5020000}"/>
    <cellStyle name="Comma 2 2 12 3" xfId="743" xr:uid="{00000000-0005-0000-0000-0000E6020000}"/>
    <cellStyle name="Comma 2 2 13" xfId="744" xr:uid="{00000000-0005-0000-0000-0000E7020000}"/>
    <cellStyle name="Comma 2 2 13 2" xfId="745" xr:uid="{00000000-0005-0000-0000-0000E8020000}"/>
    <cellStyle name="Comma 2 2 13 2 2" xfId="746" xr:uid="{00000000-0005-0000-0000-0000E9020000}"/>
    <cellStyle name="Comma 2 2 13 2 3" xfId="747" xr:uid="{00000000-0005-0000-0000-0000EA020000}"/>
    <cellStyle name="Comma 2 2 13 3" xfId="748" xr:uid="{00000000-0005-0000-0000-0000EB020000}"/>
    <cellStyle name="Comma 2 2 14" xfId="749" xr:uid="{00000000-0005-0000-0000-0000EC020000}"/>
    <cellStyle name="Comma 2 2 14 2" xfId="750" xr:uid="{00000000-0005-0000-0000-0000ED020000}"/>
    <cellStyle name="Comma 2 2 14 2 2" xfId="751" xr:uid="{00000000-0005-0000-0000-0000EE020000}"/>
    <cellStyle name="Comma 2 2 14 2 3" xfId="752" xr:uid="{00000000-0005-0000-0000-0000EF020000}"/>
    <cellStyle name="Comma 2 2 14 3" xfId="753" xr:uid="{00000000-0005-0000-0000-0000F0020000}"/>
    <cellStyle name="Comma 2 2 15" xfId="754" xr:uid="{00000000-0005-0000-0000-0000F1020000}"/>
    <cellStyle name="Comma 2 2 15 2" xfId="755" xr:uid="{00000000-0005-0000-0000-0000F2020000}"/>
    <cellStyle name="Comma 2 2 15 2 2" xfId="756" xr:uid="{00000000-0005-0000-0000-0000F3020000}"/>
    <cellStyle name="Comma 2 2 15 2 3" xfId="757" xr:uid="{00000000-0005-0000-0000-0000F4020000}"/>
    <cellStyle name="Comma 2 2 15 3" xfId="758" xr:uid="{00000000-0005-0000-0000-0000F5020000}"/>
    <cellStyle name="Comma 2 2 16" xfId="759" xr:uid="{00000000-0005-0000-0000-0000F6020000}"/>
    <cellStyle name="Comma 2 2 16 2" xfId="760" xr:uid="{00000000-0005-0000-0000-0000F7020000}"/>
    <cellStyle name="Comma 2 2 16 2 2" xfId="761" xr:uid="{00000000-0005-0000-0000-0000F8020000}"/>
    <cellStyle name="Comma 2 2 16 2 3" xfId="762" xr:uid="{00000000-0005-0000-0000-0000F9020000}"/>
    <cellStyle name="Comma 2 2 16 3" xfId="763" xr:uid="{00000000-0005-0000-0000-0000FA020000}"/>
    <cellStyle name="Comma 2 2 17" xfId="764" xr:uid="{00000000-0005-0000-0000-0000FB020000}"/>
    <cellStyle name="Comma 2 2 17 2" xfId="765" xr:uid="{00000000-0005-0000-0000-0000FC020000}"/>
    <cellStyle name="Comma 2 2 17 2 2" xfId="766" xr:uid="{00000000-0005-0000-0000-0000FD020000}"/>
    <cellStyle name="Comma 2 2 17 2 3" xfId="767" xr:uid="{00000000-0005-0000-0000-0000FE020000}"/>
    <cellStyle name="Comma 2 2 17 3" xfId="768" xr:uid="{00000000-0005-0000-0000-0000FF020000}"/>
    <cellStyle name="Comma 2 2 18" xfId="769" xr:uid="{00000000-0005-0000-0000-000000030000}"/>
    <cellStyle name="Comma 2 2 18 2" xfId="770" xr:uid="{00000000-0005-0000-0000-000001030000}"/>
    <cellStyle name="Comma 2 2 18 2 2" xfId="771" xr:uid="{00000000-0005-0000-0000-000002030000}"/>
    <cellStyle name="Comma 2 2 18 2 3" xfId="772" xr:uid="{00000000-0005-0000-0000-000003030000}"/>
    <cellStyle name="Comma 2 2 18 3" xfId="773" xr:uid="{00000000-0005-0000-0000-000004030000}"/>
    <cellStyle name="Comma 2 2 19" xfId="774" xr:uid="{00000000-0005-0000-0000-000005030000}"/>
    <cellStyle name="Comma 2 2 19 2" xfId="775" xr:uid="{00000000-0005-0000-0000-000006030000}"/>
    <cellStyle name="Comma 2 2 19 2 2" xfId="776" xr:uid="{00000000-0005-0000-0000-000007030000}"/>
    <cellStyle name="Comma 2 2 19 2 3" xfId="777" xr:uid="{00000000-0005-0000-0000-000008030000}"/>
    <cellStyle name="Comma 2 2 19 3" xfId="778" xr:uid="{00000000-0005-0000-0000-000009030000}"/>
    <cellStyle name="Comma 2 2 2" xfId="779" xr:uid="{00000000-0005-0000-0000-00000A030000}"/>
    <cellStyle name="Comma 2 2 2 10" xfId="780" xr:uid="{00000000-0005-0000-0000-00000B030000}"/>
    <cellStyle name="Comma 2 2 2 11" xfId="781" xr:uid="{00000000-0005-0000-0000-00000C030000}"/>
    <cellStyle name="Comma 2 2 2 12" xfId="782" xr:uid="{00000000-0005-0000-0000-00000D030000}"/>
    <cellStyle name="Comma 2 2 2 13" xfId="783" xr:uid="{00000000-0005-0000-0000-00000E030000}"/>
    <cellStyle name="Comma 2 2 2 14" xfId="784" xr:uid="{00000000-0005-0000-0000-00000F030000}"/>
    <cellStyle name="Comma 2 2 2 15" xfId="785" xr:uid="{00000000-0005-0000-0000-000010030000}"/>
    <cellStyle name="Comma 2 2 2 16" xfId="786" xr:uid="{00000000-0005-0000-0000-000011030000}"/>
    <cellStyle name="Comma 2 2 2 17" xfId="787" xr:uid="{00000000-0005-0000-0000-000012030000}"/>
    <cellStyle name="Comma 2 2 2 18" xfId="788" xr:uid="{00000000-0005-0000-0000-000013030000}"/>
    <cellStyle name="Comma 2 2 2 19" xfId="789" xr:uid="{00000000-0005-0000-0000-000014030000}"/>
    <cellStyle name="Comma 2 2 2 2" xfId="790" xr:uid="{00000000-0005-0000-0000-000015030000}"/>
    <cellStyle name="Comma 2 2 2 2 10" xfId="791" xr:uid="{00000000-0005-0000-0000-000016030000}"/>
    <cellStyle name="Comma 2 2 2 2 11" xfId="792" xr:uid="{00000000-0005-0000-0000-000017030000}"/>
    <cellStyle name="Comma 2 2 2 2 12" xfId="793" xr:uid="{00000000-0005-0000-0000-000018030000}"/>
    <cellStyle name="Comma 2 2 2 2 13" xfId="794" xr:uid="{00000000-0005-0000-0000-000019030000}"/>
    <cellStyle name="Comma 2 2 2 2 14" xfId="795" xr:uid="{00000000-0005-0000-0000-00001A030000}"/>
    <cellStyle name="Comma 2 2 2 2 15" xfId="796" xr:uid="{00000000-0005-0000-0000-00001B030000}"/>
    <cellStyle name="Comma 2 2 2 2 16" xfId="797" xr:uid="{00000000-0005-0000-0000-00001C030000}"/>
    <cellStyle name="Comma 2 2 2 2 17" xfId="798" xr:uid="{00000000-0005-0000-0000-00001D030000}"/>
    <cellStyle name="Comma 2 2 2 2 18" xfId="799" xr:uid="{00000000-0005-0000-0000-00001E030000}"/>
    <cellStyle name="Comma 2 2 2 2 19" xfId="800" xr:uid="{00000000-0005-0000-0000-00001F030000}"/>
    <cellStyle name="Comma 2 2 2 2 2" xfId="801" xr:uid="{00000000-0005-0000-0000-000020030000}"/>
    <cellStyle name="Comma 2 2 2 2 20" xfId="802" xr:uid="{00000000-0005-0000-0000-000021030000}"/>
    <cellStyle name="Comma 2 2 2 2 21" xfId="803" xr:uid="{00000000-0005-0000-0000-000022030000}"/>
    <cellStyle name="Comma 2 2 2 2 22" xfId="804" xr:uid="{00000000-0005-0000-0000-000023030000}"/>
    <cellStyle name="Comma 2 2 2 2 23" xfId="805" xr:uid="{00000000-0005-0000-0000-000024030000}"/>
    <cellStyle name="Comma 2 2 2 2 24" xfId="806" xr:uid="{00000000-0005-0000-0000-000025030000}"/>
    <cellStyle name="Comma 2 2 2 2 25" xfId="807" xr:uid="{00000000-0005-0000-0000-000026030000}"/>
    <cellStyle name="Comma 2 2 2 2 26" xfId="808" xr:uid="{00000000-0005-0000-0000-000027030000}"/>
    <cellStyle name="Comma 2 2 2 2 27" xfId="809" xr:uid="{00000000-0005-0000-0000-000028030000}"/>
    <cellStyle name="Comma 2 2 2 2 28" xfId="810" xr:uid="{00000000-0005-0000-0000-000029030000}"/>
    <cellStyle name="Comma 2 2 2 2 29" xfId="811" xr:uid="{00000000-0005-0000-0000-00002A030000}"/>
    <cellStyle name="Comma 2 2 2 2 3" xfId="812" xr:uid="{00000000-0005-0000-0000-00002B030000}"/>
    <cellStyle name="Comma 2 2 2 2 30" xfId="813" xr:uid="{00000000-0005-0000-0000-00002C030000}"/>
    <cellStyle name="Comma 2 2 2 2 31" xfId="814" xr:uid="{00000000-0005-0000-0000-00002D030000}"/>
    <cellStyle name="Comma 2 2 2 2 32" xfId="815" xr:uid="{00000000-0005-0000-0000-00002E030000}"/>
    <cellStyle name="Comma 2 2 2 2 33" xfId="816" xr:uid="{00000000-0005-0000-0000-00002F030000}"/>
    <cellStyle name="Comma 2 2 2 2 34" xfId="817" xr:uid="{00000000-0005-0000-0000-000030030000}"/>
    <cellStyle name="Comma 2 2 2 2 35" xfId="818" xr:uid="{00000000-0005-0000-0000-000031030000}"/>
    <cellStyle name="Comma 2 2 2 2 36" xfId="819" xr:uid="{00000000-0005-0000-0000-000032030000}"/>
    <cellStyle name="Comma 2 2 2 2 37" xfId="820" xr:uid="{00000000-0005-0000-0000-000033030000}"/>
    <cellStyle name="Comma 2 2 2 2 38" xfId="821" xr:uid="{00000000-0005-0000-0000-000034030000}"/>
    <cellStyle name="Comma 2 2 2 2 39" xfId="822" xr:uid="{00000000-0005-0000-0000-000035030000}"/>
    <cellStyle name="Comma 2 2 2 2 4" xfId="823" xr:uid="{00000000-0005-0000-0000-000036030000}"/>
    <cellStyle name="Comma 2 2 2 2 40" xfId="824" xr:uid="{00000000-0005-0000-0000-000037030000}"/>
    <cellStyle name="Comma 2 2 2 2 41" xfId="825" xr:uid="{00000000-0005-0000-0000-000038030000}"/>
    <cellStyle name="Comma 2 2 2 2 42" xfId="826" xr:uid="{00000000-0005-0000-0000-000039030000}"/>
    <cellStyle name="Comma 2 2 2 2 43" xfId="827" xr:uid="{00000000-0005-0000-0000-00003A030000}"/>
    <cellStyle name="Comma 2 2 2 2 44" xfId="828" xr:uid="{00000000-0005-0000-0000-00003B030000}"/>
    <cellStyle name="Comma 2 2 2 2 45" xfId="829" xr:uid="{00000000-0005-0000-0000-00003C030000}"/>
    <cellStyle name="Comma 2 2 2 2 46" xfId="830" xr:uid="{00000000-0005-0000-0000-00003D030000}"/>
    <cellStyle name="Comma 2 2 2 2 5" xfId="831" xr:uid="{00000000-0005-0000-0000-00003E030000}"/>
    <cellStyle name="Comma 2 2 2 2 6" xfId="832" xr:uid="{00000000-0005-0000-0000-00003F030000}"/>
    <cellStyle name="Comma 2 2 2 2 7" xfId="833" xr:uid="{00000000-0005-0000-0000-000040030000}"/>
    <cellStyle name="Comma 2 2 2 2 8" xfId="834" xr:uid="{00000000-0005-0000-0000-000041030000}"/>
    <cellStyle name="Comma 2 2 2 2 9" xfId="835" xr:uid="{00000000-0005-0000-0000-000042030000}"/>
    <cellStyle name="Comma 2 2 2 20" xfId="836" xr:uid="{00000000-0005-0000-0000-000043030000}"/>
    <cellStyle name="Comma 2 2 2 21" xfId="837" xr:uid="{00000000-0005-0000-0000-000044030000}"/>
    <cellStyle name="Comma 2 2 2 22" xfId="838" xr:uid="{00000000-0005-0000-0000-000045030000}"/>
    <cellStyle name="Comma 2 2 2 23" xfId="839" xr:uid="{00000000-0005-0000-0000-000046030000}"/>
    <cellStyle name="Comma 2 2 2 24" xfId="840" xr:uid="{00000000-0005-0000-0000-000047030000}"/>
    <cellStyle name="Comma 2 2 2 25" xfId="841" xr:uid="{00000000-0005-0000-0000-000048030000}"/>
    <cellStyle name="Comma 2 2 2 26" xfId="842" xr:uid="{00000000-0005-0000-0000-000049030000}"/>
    <cellStyle name="Comma 2 2 2 27" xfId="843" xr:uid="{00000000-0005-0000-0000-00004A030000}"/>
    <cellStyle name="Comma 2 2 2 28" xfId="844" xr:uid="{00000000-0005-0000-0000-00004B030000}"/>
    <cellStyle name="Comma 2 2 2 29" xfId="845" xr:uid="{00000000-0005-0000-0000-00004C030000}"/>
    <cellStyle name="Comma 2 2 2 3" xfId="846" xr:uid="{00000000-0005-0000-0000-00004D030000}"/>
    <cellStyle name="Comma 2 2 2 3 2" xfId="847" xr:uid="{00000000-0005-0000-0000-00004E030000}"/>
    <cellStyle name="Comma 2 2 2 3 2 2" xfId="848" xr:uid="{00000000-0005-0000-0000-00004F030000}"/>
    <cellStyle name="Comma 2 2 2 3 2 3" xfId="849" xr:uid="{00000000-0005-0000-0000-000050030000}"/>
    <cellStyle name="Comma 2 2 2 3 3" xfId="850" xr:uid="{00000000-0005-0000-0000-000051030000}"/>
    <cellStyle name="Comma 2 2 2 30" xfId="851" xr:uid="{00000000-0005-0000-0000-000052030000}"/>
    <cellStyle name="Comma 2 2 2 31" xfId="852" xr:uid="{00000000-0005-0000-0000-000053030000}"/>
    <cellStyle name="Comma 2 2 2 32" xfId="853" xr:uid="{00000000-0005-0000-0000-000054030000}"/>
    <cellStyle name="Comma 2 2 2 33" xfId="854" xr:uid="{00000000-0005-0000-0000-000055030000}"/>
    <cellStyle name="Comma 2 2 2 34" xfId="855" xr:uid="{00000000-0005-0000-0000-000056030000}"/>
    <cellStyle name="Comma 2 2 2 35" xfId="856" xr:uid="{00000000-0005-0000-0000-000057030000}"/>
    <cellStyle name="Comma 2 2 2 36" xfId="857" xr:uid="{00000000-0005-0000-0000-000058030000}"/>
    <cellStyle name="Comma 2 2 2 37" xfId="858" xr:uid="{00000000-0005-0000-0000-000059030000}"/>
    <cellStyle name="Comma 2 2 2 38" xfId="859" xr:uid="{00000000-0005-0000-0000-00005A030000}"/>
    <cellStyle name="Comma 2 2 2 39" xfId="860" xr:uid="{00000000-0005-0000-0000-00005B030000}"/>
    <cellStyle name="Comma 2 2 2 4" xfId="861" xr:uid="{00000000-0005-0000-0000-00005C030000}"/>
    <cellStyle name="Comma 2 2 2 40" xfId="862" xr:uid="{00000000-0005-0000-0000-00005D030000}"/>
    <cellStyle name="Comma 2 2 2 41" xfId="863" xr:uid="{00000000-0005-0000-0000-00005E030000}"/>
    <cellStyle name="Comma 2 2 2 42" xfId="864" xr:uid="{00000000-0005-0000-0000-00005F030000}"/>
    <cellStyle name="Comma 2 2 2 43" xfId="865" xr:uid="{00000000-0005-0000-0000-000060030000}"/>
    <cellStyle name="Comma 2 2 2 44" xfId="866" xr:uid="{00000000-0005-0000-0000-000061030000}"/>
    <cellStyle name="Comma 2 2 2 45" xfId="867" xr:uid="{00000000-0005-0000-0000-000062030000}"/>
    <cellStyle name="Comma 2 2 2 46" xfId="868" xr:uid="{00000000-0005-0000-0000-000063030000}"/>
    <cellStyle name="Comma 2 2 2 47" xfId="869" xr:uid="{00000000-0005-0000-0000-000064030000}"/>
    <cellStyle name="Comma 2 2 2 5" xfId="870" xr:uid="{00000000-0005-0000-0000-000065030000}"/>
    <cellStyle name="Comma 2 2 2 5 2" xfId="871" xr:uid="{00000000-0005-0000-0000-000066030000}"/>
    <cellStyle name="Comma 2 2 2 6" xfId="872" xr:uid="{00000000-0005-0000-0000-000067030000}"/>
    <cellStyle name="Comma 2 2 2 7" xfId="873" xr:uid="{00000000-0005-0000-0000-000068030000}"/>
    <cellStyle name="Comma 2 2 2 8" xfId="874" xr:uid="{00000000-0005-0000-0000-000069030000}"/>
    <cellStyle name="Comma 2 2 2 9" xfId="875" xr:uid="{00000000-0005-0000-0000-00006A030000}"/>
    <cellStyle name="Comma 2 2 20" xfId="876" xr:uid="{00000000-0005-0000-0000-00006B030000}"/>
    <cellStyle name="Comma 2 2 20 2" xfId="877" xr:uid="{00000000-0005-0000-0000-00006C030000}"/>
    <cellStyle name="Comma 2 2 20 2 2" xfId="878" xr:uid="{00000000-0005-0000-0000-00006D030000}"/>
    <cellStyle name="Comma 2 2 20 2 3" xfId="879" xr:uid="{00000000-0005-0000-0000-00006E030000}"/>
    <cellStyle name="Comma 2 2 20 3" xfId="880" xr:uid="{00000000-0005-0000-0000-00006F030000}"/>
    <cellStyle name="Comma 2 2 21" xfId="881" xr:uid="{00000000-0005-0000-0000-000070030000}"/>
    <cellStyle name="Comma 2 2 21 2" xfId="882" xr:uid="{00000000-0005-0000-0000-000071030000}"/>
    <cellStyle name="Comma 2 2 21 2 2" xfId="883" xr:uid="{00000000-0005-0000-0000-000072030000}"/>
    <cellStyle name="Comma 2 2 21 2 3" xfId="884" xr:uid="{00000000-0005-0000-0000-000073030000}"/>
    <cellStyle name="Comma 2 2 21 3" xfId="885" xr:uid="{00000000-0005-0000-0000-000074030000}"/>
    <cellStyle name="Comma 2 2 22" xfId="886" xr:uid="{00000000-0005-0000-0000-000075030000}"/>
    <cellStyle name="Comma 2 2 22 2" xfId="887" xr:uid="{00000000-0005-0000-0000-000076030000}"/>
    <cellStyle name="Comma 2 2 22 2 2" xfId="888" xr:uid="{00000000-0005-0000-0000-000077030000}"/>
    <cellStyle name="Comma 2 2 22 2 3" xfId="889" xr:uid="{00000000-0005-0000-0000-000078030000}"/>
    <cellStyle name="Comma 2 2 22 3" xfId="890" xr:uid="{00000000-0005-0000-0000-000079030000}"/>
    <cellStyle name="Comma 2 2 23" xfId="891" xr:uid="{00000000-0005-0000-0000-00007A030000}"/>
    <cellStyle name="Comma 2 2 23 2" xfId="892" xr:uid="{00000000-0005-0000-0000-00007B030000}"/>
    <cellStyle name="Comma 2 2 23 2 2" xfId="893" xr:uid="{00000000-0005-0000-0000-00007C030000}"/>
    <cellStyle name="Comma 2 2 23 2 3" xfId="894" xr:uid="{00000000-0005-0000-0000-00007D030000}"/>
    <cellStyle name="Comma 2 2 23 3" xfId="895" xr:uid="{00000000-0005-0000-0000-00007E030000}"/>
    <cellStyle name="Comma 2 2 24" xfId="896" xr:uid="{00000000-0005-0000-0000-00007F030000}"/>
    <cellStyle name="Comma 2 2 24 2" xfId="897" xr:uid="{00000000-0005-0000-0000-000080030000}"/>
    <cellStyle name="Comma 2 2 24 2 2" xfId="898" xr:uid="{00000000-0005-0000-0000-000081030000}"/>
    <cellStyle name="Comma 2 2 24 2 3" xfId="899" xr:uid="{00000000-0005-0000-0000-000082030000}"/>
    <cellStyle name="Comma 2 2 24 3" xfId="900" xr:uid="{00000000-0005-0000-0000-000083030000}"/>
    <cellStyle name="Comma 2 2 25" xfId="901" xr:uid="{00000000-0005-0000-0000-000084030000}"/>
    <cellStyle name="Comma 2 2 25 2" xfId="902" xr:uid="{00000000-0005-0000-0000-000085030000}"/>
    <cellStyle name="Comma 2 2 25 2 2" xfId="903" xr:uid="{00000000-0005-0000-0000-000086030000}"/>
    <cellStyle name="Comma 2 2 25 2 3" xfId="904" xr:uid="{00000000-0005-0000-0000-000087030000}"/>
    <cellStyle name="Comma 2 2 25 3" xfId="905" xr:uid="{00000000-0005-0000-0000-000088030000}"/>
    <cellStyle name="Comma 2 2 26" xfId="906" xr:uid="{00000000-0005-0000-0000-000089030000}"/>
    <cellStyle name="Comma 2 2 26 2" xfId="907" xr:uid="{00000000-0005-0000-0000-00008A030000}"/>
    <cellStyle name="Comma 2 2 26 2 2" xfId="908" xr:uid="{00000000-0005-0000-0000-00008B030000}"/>
    <cellStyle name="Comma 2 2 26 2 3" xfId="909" xr:uid="{00000000-0005-0000-0000-00008C030000}"/>
    <cellStyle name="Comma 2 2 26 3" xfId="910" xr:uid="{00000000-0005-0000-0000-00008D030000}"/>
    <cellStyle name="Comma 2 2 27" xfId="911" xr:uid="{00000000-0005-0000-0000-00008E030000}"/>
    <cellStyle name="Comma 2 2 27 2" xfId="912" xr:uid="{00000000-0005-0000-0000-00008F030000}"/>
    <cellStyle name="Comma 2 2 27 2 2" xfId="913" xr:uid="{00000000-0005-0000-0000-000090030000}"/>
    <cellStyle name="Comma 2 2 27 2 3" xfId="914" xr:uid="{00000000-0005-0000-0000-000091030000}"/>
    <cellStyle name="Comma 2 2 27 3" xfId="915" xr:uid="{00000000-0005-0000-0000-000092030000}"/>
    <cellStyle name="Comma 2 2 28" xfId="916" xr:uid="{00000000-0005-0000-0000-000093030000}"/>
    <cellStyle name="Comma 2 2 28 2" xfId="917" xr:uid="{00000000-0005-0000-0000-000094030000}"/>
    <cellStyle name="Comma 2 2 28 2 2" xfId="918" xr:uid="{00000000-0005-0000-0000-000095030000}"/>
    <cellStyle name="Comma 2 2 28 2 3" xfId="919" xr:uid="{00000000-0005-0000-0000-000096030000}"/>
    <cellStyle name="Comma 2 2 28 3" xfId="920" xr:uid="{00000000-0005-0000-0000-000097030000}"/>
    <cellStyle name="Comma 2 2 29" xfId="921" xr:uid="{00000000-0005-0000-0000-000098030000}"/>
    <cellStyle name="Comma 2 2 29 2" xfId="922" xr:uid="{00000000-0005-0000-0000-000099030000}"/>
    <cellStyle name="Comma 2 2 29 2 2" xfId="923" xr:uid="{00000000-0005-0000-0000-00009A030000}"/>
    <cellStyle name="Comma 2 2 29 2 3" xfId="924" xr:uid="{00000000-0005-0000-0000-00009B030000}"/>
    <cellStyle name="Comma 2 2 29 3" xfId="925" xr:uid="{00000000-0005-0000-0000-00009C030000}"/>
    <cellStyle name="Comma 2 2 3" xfId="926" xr:uid="{00000000-0005-0000-0000-00009D030000}"/>
    <cellStyle name="Comma 2 2 3 2" xfId="927" xr:uid="{00000000-0005-0000-0000-00009E030000}"/>
    <cellStyle name="Comma 2 2 3 2 2" xfId="928" xr:uid="{00000000-0005-0000-0000-00009F030000}"/>
    <cellStyle name="Comma 2 2 3 2 2 2" xfId="929" xr:uid="{00000000-0005-0000-0000-0000A0030000}"/>
    <cellStyle name="Comma 2 2 3 2 2 3" xfId="930" xr:uid="{00000000-0005-0000-0000-0000A1030000}"/>
    <cellStyle name="Comma 2 2 3 2 3" xfId="931" xr:uid="{00000000-0005-0000-0000-0000A2030000}"/>
    <cellStyle name="Comma 2 2 3 2 4" xfId="932" xr:uid="{00000000-0005-0000-0000-0000A3030000}"/>
    <cellStyle name="Comma 2 2 3 3" xfId="933" xr:uid="{00000000-0005-0000-0000-0000A4030000}"/>
    <cellStyle name="Comma 2 2 3 3 2" xfId="934" xr:uid="{00000000-0005-0000-0000-0000A5030000}"/>
    <cellStyle name="Comma 2 2 3 3 2 2" xfId="935" xr:uid="{00000000-0005-0000-0000-0000A6030000}"/>
    <cellStyle name="Comma 2 2 3 3 2 3" xfId="936" xr:uid="{00000000-0005-0000-0000-0000A7030000}"/>
    <cellStyle name="Comma 2 2 3 3 3" xfId="937" xr:uid="{00000000-0005-0000-0000-0000A8030000}"/>
    <cellStyle name="Comma 2 2 3 4" xfId="938" xr:uid="{00000000-0005-0000-0000-0000A9030000}"/>
    <cellStyle name="Comma 2 2 3 4 2" xfId="939" xr:uid="{00000000-0005-0000-0000-0000AA030000}"/>
    <cellStyle name="Comma 2 2 3 4 2 2" xfId="940" xr:uid="{00000000-0005-0000-0000-0000AB030000}"/>
    <cellStyle name="Comma 2 2 3 4 2 3" xfId="941" xr:uid="{00000000-0005-0000-0000-0000AC030000}"/>
    <cellStyle name="Comma 2 2 3 4 3" xfId="942" xr:uid="{00000000-0005-0000-0000-0000AD030000}"/>
    <cellStyle name="Comma 2 2 3 5" xfId="943" xr:uid="{00000000-0005-0000-0000-0000AE030000}"/>
    <cellStyle name="Comma 2 2 3 5 2" xfId="944" xr:uid="{00000000-0005-0000-0000-0000AF030000}"/>
    <cellStyle name="Comma 2 2 3 6" xfId="945" xr:uid="{00000000-0005-0000-0000-0000B0030000}"/>
    <cellStyle name="Comma 2 2 3 7" xfId="946" xr:uid="{00000000-0005-0000-0000-0000B1030000}"/>
    <cellStyle name="Comma 2 2 30" xfId="947" xr:uid="{00000000-0005-0000-0000-0000B2030000}"/>
    <cellStyle name="Comma 2 2 30 2" xfId="948" xr:uid="{00000000-0005-0000-0000-0000B3030000}"/>
    <cellStyle name="Comma 2 2 30 2 2" xfId="949" xr:uid="{00000000-0005-0000-0000-0000B4030000}"/>
    <cellStyle name="Comma 2 2 30 2 3" xfId="950" xr:uid="{00000000-0005-0000-0000-0000B5030000}"/>
    <cellStyle name="Comma 2 2 30 3" xfId="951" xr:uid="{00000000-0005-0000-0000-0000B6030000}"/>
    <cellStyle name="Comma 2 2 31" xfId="952" xr:uid="{00000000-0005-0000-0000-0000B7030000}"/>
    <cellStyle name="Comma 2 2 31 2" xfId="953" xr:uid="{00000000-0005-0000-0000-0000B8030000}"/>
    <cellStyle name="Comma 2 2 31 2 2" xfId="954" xr:uid="{00000000-0005-0000-0000-0000B9030000}"/>
    <cellStyle name="Comma 2 2 31 2 3" xfId="955" xr:uid="{00000000-0005-0000-0000-0000BA030000}"/>
    <cellStyle name="Comma 2 2 31 3" xfId="956" xr:uid="{00000000-0005-0000-0000-0000BB030000}"/>
    <cellStyle name="Comma 2 2 32" xfId="957" xr:uid="{00000000-0005-0000-0000-0000BC030000}"/>
    <cellStyle name="Comma 2 2 32 2" xfId="958" xr:uid="{00000000-0005-0000-0000-0000BD030000}"/>
    <cellStyle name="Comma 2 2 32 2 2" xfId="959" xr:uid="{00000000-0005-0000-0000-0000BE030000}"/>
    <cellStyle name="Comma 2 2 32 2 3" xfId="960" xr:uid="{00000000-0005-0000-0000-0000BF030000}"/>
    <cellStyle name="Comma 2 2 32 3" xfId="961" xr:uid="{00000000-0005-0000-0000-0000C0030000}"/>
    <cellStyle name="Comma 2 2 33" xfId="962" xr:uid="{00000000-0005-0000-0000-0000C1030000}"/>
    <cellStyle name="Comma 2 2 33 2" xfId="963" xr:uid="{00000000-0005-0000-0000-0000C2030000}"/>
    <cellStyle name="Comma 2 2 33 2 2" xfId="964" xr:uid="{00000000-0005-0000-0000-0000C3030000}"/>
    <cellStyle name="Comma 2 2 33 2 3" xfId="965" xr:uid="{00000000-0005-0000-0000-0000C4030000}"/>
    <cellStyle name="Comma 2 2 33 3" xfId="966" xr:uid="{00000000-0005-0000-0000-0000C5030000}"/>
    <cellStyle name="Comma 2 2 34" xfId="967" xr:uid="{00000000-0005-0000-0000-0000C6030000}"/>
    <cellStyle name="Comma 2 2 34 2" xfId="968" xr:uid="{00000000-0005-0000-0000-0000C7030000}"/>
    <cellStyle name="Comma 2 2 34 3" xfId="969" xr:uid="{00000000-0005-0000-0000-0000C8030000}"/>
    <cellStyle name="Comma 2 2 35" xfId="970" xr:uid="{00000000-0005-0000-0000-0000C9030000}"/>
    <cellStyle name="Comma 2 2 35 2" xfId="971" xr:uid="{00000000-0005-0000-0000-0000CA030000}"/>
    <cellStyle name="Comma 2 2 35 3" xfId="972" xr:uid="{00000000-0005-0000-0000-0000CB030000}"/>
    <cellStyle name="Comma 2 2 36" xfId="973" xr:uid="{00000000-0005-0000-0000-0000CC030000}"/>
    <cellStyle name="Comma 2 2 36 2" xfId="974" xr:uid="{00000000-0005-0000-0000-0000CD030000}"/>
    <cellStyle name="Comma 2 2 36 2 2" xfId="975" xr:uid="{00000000-0005-0000-0000-0000CE030000}"/>
    <cellStyle name="Comma 2 2 36 3" xfId="976" xr:uid="{00000000-0005-0000-0000-0000CF030000}"/>
    <cellStyle name="Comma 2 2 37" xfId="977" xr:uid="{00000000-0005-0000-0000-0000D0030000}"/>
    <cellStyle name="Comma 2 2 38" xfId="978" xr:uid="{00000000-0005-0000-0000-0000D1030000}"/>
    <cellStyle name="Comma 2 2 39" xfId="979" xr:uid="{00000000-0005-0000-0000-0000D2030000}"/>
    <cellStyle name="Comma 2 2 4" xfId="980" xr:uid="{00000000-0005-0000-0000-0000D3030000}"/>
    <cellStyle name="Comma 2 2 4 2" xfId="981" xr:uid="{00000000-0005-0000-0000-0000D4030000}"/>
    <cellStyle name="Comma 2 2 4 3" xfId="982" xr:uid="{00000000-0005-0000-0000-0000D5030000}"/>
    <cellStyle name="Comma 2 2 40" xfId="983" xr:uid="{00000000-0005-0000-0000-0000D6030000}"/>
    <cellStyle name="Comma 2 2 41" xfId="984" xr:uid="{00000000-0005-0000-0000-0000D7030000}"/>
    <cellStyle name="Comma 2 2 42" xfId="985" xr:uid="{00000000-0005-0000-0000-0000D8030000}"/>
    <cellStyle name="Comma 2 2 43" xfId="986" xr:uid="{00000000-0005-0000-0000-0000D9030000}"/>
    <cellStyle name="Comma 2 2 44" xfId="987" xr:uid="{00000000-0005-0000-0000-0000DA030000}"/>
    <cellStyle name="Comma 2 2 45" xfId="988" xr:uid="{00000000-0005-0000-0000-0000DB030000}"/>
    <cellStyle name="Comma 2 2 46" xfId="989" xr:uid="{00000000-0005-0000-0000-0000DC030000}"/>
    <cellStyle name="Comma 2 2 47" xfId="990" xr:uid="{00000000-0005-0000-0000-0000DD030000}"/>
    <cellStyle name="Comma 2 2 48" xfId="991" xr:uid="{00000000-0005-0000-0000-0000DE030000}"/>
    <cellStyle name="Comma 2 2 49" xfId="992" xr:uid="{00000000-0005-0000-0000-0000DF030000}"/>
    <cellStyle name="Comma 2 2 5" xfId="993" xr:uid="{00000000-0005-0000-0000-0000E0030000}"/>
    <cellStyle name="Comma 2 2 50" xfId="994" xr:uid="{00000000-0005-0000-0000-0000E1030000}"/>
    <cellStyle name="Comma 2 2 51" xfId="995" xr:uid="{00000000-0005-0000-0000-0000E2030000}"/>
    <cellStyle name="Comma 2 2 52" xfId="996" xr:uid="{00000000-0005-0000-0000-0000E3030000}"/>
    <cellStyle name="Comma 2 2 53" xfId="997" xr:uid="{00000000-0005-0000-0000-0000E4030000}"/>
    <cellStyle name="Comma 2 2 6" xfId="998" xr:uid="{00000000-0005-0000-0000-0000E5030000}"/>
    <cellStyle name="Comma 2 2 7" xfId="999" xr:uid="{00000000-0005-0000-0000-0000E6030000}"/>
    <cellStyle name="Comma 2 2 8" xfId="1000" xr:uid="{00000000-0005-0000-0000-0000E7030000}"/>
    <cellStyle name="Comma 2 2 9" xfId="1001" xr:uid="{00000000-0005-0000-0000-0000E8030000}"/>
    <cellStyle name="Comma 2 20" xfId="1002" xr:uid="{00000000-0005-0000-0000-0000E9030000}"/>
    <cellStyle name="Comma 2 21" xfId="1003" xr:uid="{00000000-0005-0000-0000-0000EA030000}"/>
    <cellStyle name="Comma 2 22" xfId="1004" xr:uid="{00000000-0005-0000-0000-0000EB030000}"/>
    <cellStyle name="Comma 2 23" xfId="1005" xr:uid="{00000000-0005-0000-0000-0000EC030000}"/>
    <cellStyle name="Comma 2 24" xfId="1006" xr:uid="{00000000-0005-0000-0000-0000ED030000}"/>
    <cellStyle name="Comma 2 25" xfId="1007" xr:uid="{00000000-0005-0000-0000-0000EE030000}"/>
    <cellStyle name="Comma 2 26" xfId="1008" xr:uid="{00000000-0005-0000-0000-0000EF030000}"/>
    <cellStyle name="Comma 2 27" xfId="1009" xr:uid="{00000000-0005-0000-0000-0000F0030000}"/>
    <cellStyle name="Comma 2 28" xfId="1010" xr:uid="{00000000-0005-0000-0000-0000F1030000}"/>
    <cellStyle name="Comma 2 29" xfId="1011" xr:uid="{00000000-0005-0000-0000-0000F2030000}"/>
    <cellStyle name="Comma 2 3" xfId="1012" xr:uid="{00000000-0005-0000-0000-0000F3030000}"/>
    <cellStyle name="Comma 2 30" xfId="1013" xr:uid="{00000000-0005-0000-0000-0000F4030000}"/>
    <cellStyle name="Comma 2 31" xfId="1014" xr:uid="{00000000-0005-0000-0000-0000F5030000}"/>
    <cellStyle name="Comma 2 32" xfId="1015" xr:uid="{00000000-0005-0000-0000-0000F6030000}"/>
    <cellStyle name="Comma 2 33" xfId="1016" xr:uid="{00000000-0005-0000-0000-0000F7030000}"/>
    <cellStyle name="Comma 2 34" xfId="1017" xr:uid="{00000000-0005-0000-0000-0000F8030000}"/>
    <cellStyle name="Comma 2 35" xfId="1018" xr:uid="{00000000-0005-0000-0000-0000F9030000}"/>
    <cellStyle name="Comma 2 35 2" xfId="1019" xr:uid="{00000000-0005-0000-0000-0000FA030000}"/>
    <cellStyle name="Comma 2 35_Gui Ha" xfId="1020" xr:uid="{00000000-0005-0000-0000-0000FB030000}"/>
    <cellStyle name="Comma 2 36" xfId="1021" xr:uid="{00000000-0005-0000-0000-0000FC030000}"/>
    <cellStyle name="Comma 2 37" xfId="1022" xr:uid="{00000000-0005-0000-0000-0000FD030000}"/>
    <cellStyle name="Comma 2 38" xfId="1023" xr:uid="{00000000-0005-0000-0000-0000FE030000}"/>
    <cellStyle name="Comma 2 39" xfId="1024" xr:uid="{00000000-0005-0000-0000-0000FF030000}"/>
    <cellStyle name="Comma 2 4" xfId="1025" xr:uid="{00000000-0005-0000-0000-000000040000}"/>
    <cellStyle name="Comma 2 4 2" xfId="1026" xr:uid="{00000000-0005-0000-0000-000001040000}"/>
    <cellStyle name="Comma 2 4 3" xfId="1027" xr:uid="{00000000-0005-0000-0000-000002040000}"/>
    <cellStyle name="Comma 2 4 4" xfId="1028" xr:uid="{00000000-0005-0000-0000-000003040000}"/>
    <cellStyle name="Comma 2 40" xfId="1029" xr:uid="{00000000-0005-0000-0000-000004040000}"/>
    <cellStyle name="Comma 2 41" xfId="1030" xr:uid="{00000000-0005-0000-0000-000005040000}"/>
    <cellStyle name="Comma 2 42" xfId="1031" xr:uid="{00000000-0005-0000-0000-000006040000}"/>
    <cellStyle name="Comma 2 43" xfId="1032" xr:uid="{00000000-0005-0000-0000-000007040000}"/>
    <cellStyle name="Comma 2 44" xfId="1033" xr:uid="{00000000-0005-0000-0000-000008040000}"/>
    <cellStyle name="Comma 2 45" xfId="1034" xr:uid="{00000000-0005-0000-0000-000009040000}"/>
    <cellStyle name="Comma 2 46" xfId="1035" xr:uid="{00000000-0005-0000-0000-00000A040000}"/>
    <cellStyle name="Comma 2 47" xfId="1036" xr:uid="{00000000-0005-0000-0000-00000B040000}"/>
    <cellStyle name="Comma 2 48" xfId="1037" xr:uid="{00000000-0005-0000-0000-00000C040000}"/>
    <cellStyle name="Comma 2 49" xfId="1038" xr:uid="{00000000-0005-0000-0000-00000D040000}"/>
    <cellStyle name="Comma 2 5" xfId="1039" xr:uid="{00000000-0005-0000-0000-00000E040000}"/>
    <cellStyle name="Comma 2 6" xfId="1040" xr:uid="{00000000-0005-0000-0000-00000F040000}"/>
    <cellStyle name="Comma 2 7" xfId="1041" xr:uid="{00000000-0005-0000-0000-000010040000}"/>
    <cellStyle name="Comma 2 8" xfId="1042" xr:uid="{00000000-0005-0000-0000-000011040000}"/>
    <cellStyle name="Comma 2 9" xfId="1043" xr:uid="{00000000-0005-0000-0000-000012040000}"/>
    <cellStyle name="Comma 20" xfId="1044" xr:uid="{00000000-0005-0000-0000-000013040000}"/>
    <cellStyle name="Comma 21" xfId="1045" xr:uid="{00000000-0005-0000-0000-000014040000}"/>
    <cellStyle name="Comma 22" xfId="1046" xr:uid="{00000000-0005-0000-0000-000015040000}"/>
    <cellStyle name="Comma 23" xfId="1047" xr:uid="{00000000-0005-0000-0000-000016040000}"/>
    <cellStyle name="Comma 24" xfId="1048" xr:uid="{00000000-0005-0000-0000-000017040000}"/>
    <cellStyle name="Comma 25" xfId="1049" xr:uid="{00000000-0005-0000-0000-000018040000}"/>
    <cellStyle name="Comma 26" xfId="1050" xr:uid="{00000000-0005-0000-0000-000019040000}"/>
    <cellStyle name="Comma 27" xfId="1051" xr:uid="{00000000-0005-0000-0000-00001A040000}"/>
    <cellStyle name="Comma 28" xfId="1052" xr:uid="{00000000-0005-0000-0000-00001B040000}"/>
    <cellStyle name="Comma 29" xfId="1053" xr:uid="{00000000-0005-0000-0000-00001C040000}"/>
    <cellStyle name="Comma 3" xfId="1054" xr:uid="{00000000-0005-0000-0000-00001D040000}"/>
    <cellStyle name="Comma 3 10" xfId="1055" xr:uid="{00000000-0005-0000-0000-00001E040000}"/>
    <cellStyle name="Comma 3 11" xfId="1056" xr:uid="{00000000-0005-0000-0000-00001F040000}"/>
    <cellStyle name="Comma 3 12" xfId="1057" xr:uid="{00000000-0005-0000-0000-000020040000}"/>
    <cellStyle name="Comma 3 13" xfId="1058" xr:uid="{00000000-0005-0000-0000-000021040000}"/>
    <cellStyle name="Comma 3 14" xfId="1059" xr:uid="{00000000-0005-0000-0000-000022040000}"/>
    <cellStyle name="Comma 3 15" xfId="1060" xr:uid="{00000000-0005-0000-0000-000023040000}"/>
    <cellStyle name="Comma 3 16" xfId="1061" xr:uid="{00000000-0005-0000-0000-000024040000}"/>
    <cellStyle name="Comma 3 17" xfId="1062" xr:uid="{00000000-0005-0000-0000-000025040000}"/>
    <cellStyle name="Comma 3 18" xfId="1063" xr:uid="{00000000-0005-0000-0000-000026040000}"/>
    <cellStyle name="Comma 3 19" xfId="1064" xr:uid="{00000000-0005-0000-0000-000027040000}"/>
    <cellStyle name="Comma 3 2" xfId="1065" xr:uid="{00000000-0005-0000-0000-000028040000}"/>
    <cellStyle name="Comma 3 2 10" xfId="1066" xr:uid="{00000000-0005-0000-0000-000029040000}"/>
    <cellStyle name="Comma 3 2 11" xfId="1067" xr:uid="{00000000-0005-0000-0000-00002A040000}"/>
    <cellStyle name="Comma 3 2 12" xfId="1068" xr:uid="{00000000-0005-0000-0000-00002B040000}"/>
    <cellStyle name="Comma 3 2 13" xfId="1069" xr:uid="{00000000-0005-0000-0000-00002C040000}"/>
    <cellStyle name="Comma 3 2 14" xfId="1070" xr:uid="{00000000-0005-0000-0000-00002D040000}"/>
    <cellStyle name="Comma 3 2 15" xfId="1071" xr:uid="{00000000-0005-0000-0000-00002E040000}"/>
    <cellStyle name="Comma 3 2 16" xfId="1072" xr:uid="{00000000-0005-0000-0000-00002F040000}"/>
    <cellStyle name="Comma 3 2 17" xfId="1073" xr:uid="{00000000-0005-0000-0000-000030040000}"/>
    <cellStyle name="Comma 3 2 18" xfId="1074" xr:uid="{00000000-0005-0000-0000-000031040000}"/>
    <cellStyle name="Comma 3 2 19" xfId="1075" xr:uid="{00000000-0005-0000-0000-000032040000}"/>
    <cellStyle name="Comma 3 2 2" xfId="1076" xr:uid="{00000000-0005-0000-0000-000033040000}"/>
    <cellStyle name="Comma 3 2 2 10" xfId="1077" xr:uid="{00000000-0005-0000-0000-000034040000}"/>
    <cellStyle name="Comma 3 2 2 11" xfId="1078" xr:uid="{00000000-0005-0000-0000-000035040000}"/>
    <cellStyle name="Comma 3 2 2 12" xfId="1079" xr:uid="{00000000-0005-0000-0000-000036040000}"/>
    <cellStyle name="Comma 3 2 2 13" xfId="1080" xr:uid="{00000000-0005-0000-0000-000037040000}"/>
    <cellStyle name="Comma 3 2 2 14" xfId="1081" xr:uid="{00000000-0005-0000-0000-000038040000}"/>
    <cellStyle name="Comma 3 2 2 15" xfId="1082" xr:uid="{00000000-0005-0000-0000-000039040000}"/>
    <cellStyle name="Comma 3 2 2 16" xfId="1083" xr:uid="{00000000-0005-0000-0000-00003A040000}"/>
    <cellStyle name="Comma 3 2 2 17" xfId="1084" xr:uid="{00000000-0005-0000-0000-00003B040000}"/>
    <cellStyle name="Comma 3 2 2 18" xfId="1085" xr:uid="{00000000-0005-0000-0000-00003C040000}"/>
    <cellStyle name="Comma 3 2 2 19" xfId="1086" xr:uid="{00000000-0005-0000-0000-00003D040000}"/>
    <cellStyle name="Comma 3 2 2 2" xfId="1087" xr:uid="{00000000-0005-0000-0000-00003E040000}"/>
    <cellStyle name="Comma 3 2 2 2 10" xfId="1088" xr:uid="{00000000-0005-0000-0000-00003F040000}"/>
    <cellStyle name="Comma 3 2 2 2 11" xfId="1089" xr:uid="{00000000-0005-0000-0000-000040040000}"/>
    <cellStyle name="Comma 3 2 2 2 12" xfId="1090" xr:uid="{00000000-0005-0000-0000-000041040000}"/>
    <cellStyle name="Comma 3 2 2 2 13" xfId="1091" xr:uid="{00000000-0005-0000-0000-000042040000}"/>
    <cellStyle name="Comma 3 2 2 2 14" xfId="1092" xr:uid="{00000000-0005-0000-0000-000043040000}"/>
    <cellStyle name="Comma 3 2 2 2 15" xfId="1093" xr:uid="{00000000-0005-0000-0000-000044040000}"/>
    <cellStyle name="Comma 3 2 2 2 16" xfId="1094" xr:uid="{00000000-0005-0000-0000-000045040000}"/>
    <cellStyle name="Comma 3 2 2 2 17" xfId="1095" xr:uid="{00000000-0005-0000-0000-000046040000}"/>
    <cellStyle name="Comma 3 2 2 2 18" xfId="1096" xr:uid="{00000000-0005-0000-0000-000047040000}"/>
    <cellStyle name="Comma 3 2 2 2 19" xfId="1097" xr:uid="{00000000-0005-0000-0000-000048040000}"/>
    <cellStyle name="Comma 3 2 2 2 2" xfId="1098" xr:uid="{00000000-0005-0000-0000-000049040000}"/>
    <cellStyle name="Comma 3 2 2 2 2 2" xfId="1099" xr:uid="{00000000-0005-0000-0000-00004A040000}"/>
    <cellStyle name="Comma 3 2 2 2 2 3" xfId="1100" xr:uid="{00000000-0005-0000-0000-00004B040000}"/>
    <cellStyle name="Comma 3 2 2 2 20" xfId="1101" xr:uid="{00000000-0005-0000-0000-00004C040000}"/>
    <cellStyle name="Comma 3 2 2 2 21" xfId="1102" xr:uid="{00000000-0005-0000-0000-00004D040000}"/>
    <cellStyle name="Comma 3 2 2 2 22" xfId="1103" xr:uid="{00000000-0005-0000-0000-00004E040000}"/>
    <cellStyle name="Comma 3 2 2 2 23" xfId="1104" xr:uid="{00000000-0005-0000-0000-00004F040000}"/>
    <cellStyle name="Comma 3 2 2 2 24" xfId="1105" xr:uid="{00000000-0005-0000-0000-000050040000}"/>
    <cellStyle name="Comma 3 2 2 2 25" xfId="1106" xr:uid="{00000000-0005-0000-0000-000051040000}"/>
    <cellStyle name="Comma 3 2 2 2 26" xfId="1107" xr:uid="{00000000-0005-0000-0000-000052040000}"/>
    <cellStyle name="Comma 3 2 2 2 27" xfId="1108" xr:uid="{00000000-0005-0000-0000-000053040000}"/>
    <cellStyle name="Comma 3 2 2 2 28" xfId="1109" xr:uid="{00000000-0005-0000-0000-000054040000}"/>
    <cellStyle name="Comma 3 2 2 2 29" xfId="1110" xr:uid="{00000000-0005-0000-0000-000055040000}"/>
    <cellStyle name="Comma 3 2 2 2 3" xfId="1111" xr:uid="{00000000-0005-0000-0000-000056040000}"/>
    <cellStyle name="Comma 3 2 2 2 30" xfId="1112" xr:uid="{00000000-0005-0000-0000-000057040000}"/>
    <cellStyle name="Comma 3 2 2 2 31" xfId="1113" xr:uid="{00000000-0005-0000-0000-000058040000}"/>
    <cellStyle name="Comma 3 2 2 2 32" xfId="1114" xr:uid="{00000000-0005-0000-0000-000059040000}"/>
    <cellStyle name="Comma 3 2 2 2 33" xfId="1115" xr:uid="{00000000-0005-0000-0000-00005A040000}"/>
    <cellStyle name="Comma 3 2 2 2 34" xfId="1116" xr:uid="{00000000-0005-0000-0000-00005B040000}"/>
    <cellStyle name="Comma 3 2 2 2 35" xfId="1117" xr:uid="{00000000-0005-0000-0000-00005C040000}"/>
    <cellStyle name="Comma 3 2 2 2 36" xfId="1118" xr:uid="{00000000-0005-0000-0000-00005D040000}"/>
    <cellStyle name="Comma 3 2 2 2 37" xfId="1119" xr:uid="{00000000-0005-0000-0000-00005E040000}"/>
    <cellStyle name="Comma 3 2 2 2 38" xfId="1120" xr:uid="{00000000-0005-0000-0000-00005F040000}"/>
    <cellStyle name="Comma 3 2 2 2 39" xfId="1121" xr:uid="{00000000-0005-0000-0000-000060040000}"/>
    <cellStyle name="Comma 3 2 2 2 4" xfId="1122" xr:uid="{00000000-0005-0000-0000-000061040000}"/>
    <cellStyle name="Comma 3 2 2 2 40" xfId="1123" xr:uid="{00000000-0005-0000-0000-000062040000}"/>
    <cellStyle name="Comma 3 2 2 2 41" xfId="1124" xr:uid="{00000000-0005-0000-0000-000063040000}"/>
    <cellStyle name="Comma 3 2 2 2 42" xfId="1125" xr:uid="{00000000-0005-0000-0000-000064040000}"/>
    <cellStyle name="Comma 3 2 2 2 43" xfId="1126" xr:uid="{00000000-0005-0000-0000-000065040000}"/>
    <cellStyle name="Comma 3 2 2 2 44" xfId="1127" xr:uid="{00000000-0005-0000-0000-000066040000}"/>
    <cellStyle name="Comma 3 2 2 2 45" xfId="1128" xr:uid="{00000000-0005-0000-0000-000067040000}"/>
    <cellStyle name="Comma 3 2 2 2 46" xfId="1129" xr:uid="{00000000-0005-0000-0000-000068040000}"/>
    <cellStyle name="Comma 3 2 2 2 47" xfId="1130" xr:uid="{00000000-0005-0000-0000-000069040000}"/>
    <cellStyle name="Comma 3 2 2 2 5" xfId="1131" xr:uid="{00000000-0005-0000-0000-00006A040000}"/>
    <cellStyle name="Comma 3 2 2 2 6" xfId="1132" xr:uid="{00000000-0005-0000-0000-00006B040000}"/>
    <cellStyle name="Comma 3 2 2 2 7" xfId="1133" xr:uid="{00000000-0005-0000-0000-00006C040000}"/>
    <cellStyle name="Comma 3 2 2 2 8" xfId="1134" xr:uid="{00000000-0005-0000-0000-00006D040000}"/>
    <cellStyle name="Comma 3 2 2 2 9" xfId="1135" xr:uid="{00000000-0005-0000-0000-00006E040000}"/>
    <cellStyle name="Comma 3 2 2 20" xfId="1136" xr:uid="{00000000-0005-0000-0000-00006F040000}"/>
    <cellStyle name="Comma 3 2 2 21" xfId="1137" xr:uid="{00000000-0005-0000-0000-000070040000}"/>
    <cellStyle name="Comma 3 2 2 22" xfId="1138" xr:uid="{00000000-0005-0000-0000-000071040000}"/>
    <cellStyle name="Comma 3 2 2 23" xfId="1139" xr:uid="{00000000-0005-0000-0000-000072040000}"/>
    <cellStyle name="Comma 3 2 2 24" xfId="1140" xr:uid="{00000000-0005-0000-0000-000073040000}"/>
    <cellStyle name="Comma 3 2 2 25" xfId="1141" xr:uid="{00000000-0005-0000-0000-000074040000}"/>
    <cellStyle name="Comma 3 2 2 26" xfId="1142" xr:uid="{00000000-0005-0000-0000-000075040000}"/>
    <cellStyle name="Comma 3 2 2 27" xfId="1143" xr:uid="{00000000-0005-0000-0000-000076040000}"/>
    <cellStyle name="Comma 3 2 2 28" xfId="1144" xr:uid="{00000000-0005-0000-0000-000077040000}"/>
    <cellStyle name="Comma 3 2 2 29" xfId="1145" xr:uid="{00000000-0005-0000-0000-000078040000}"/>
    <cellStyle name="Comma 3 2 2 3" xfId="1146" xr:uid="{00000000-0005-0000-0000-000079040000}"/>
    <cellStyle name="Comma 3 2 2 30" xfId="1147" xr:uid="{00000000-0005-0000-0000-00007A040000}"/>
    <cellStyle name="Comma 3 2 2 31" xfId="1148" xr:uid="{00000000-0005-0000-0000-00007B040000}"/>
    <cellStyle name="Comma 3 2 2 32" xfId="1149" xr:uid="{00000000-0005-0000-0000-00007C040000}"/>
    <cellStyle name="Comma 3 2 2 33" xfId="1150" xr:uid="{00000000-0005-0000-0000-00007D040000}"/>
    <cellStyle name="Comma 3 2 2 34" xfId="1151" xr:uid="{00000000-0005-0000-0000-00007E040000}"/>
    <cellStyle name="Comma 3 2 2 35" xfId="1152" xr:uid="{00000000-0005-0000-0000-00007F040000}"/>
    <cellStyle name="Comma 3 2 2 36" xfId="1153" xr:uid="{00000000-0005-0000-0000-000080040000}"/>
    <cellStyle name="Comma 3 2 2 37" xfId="1154" xr:uid="{00000000-0005-0000-0000-000081040000}"/>
    <cellStyle name="Comma 3 2 2 38" xfId="1155" xr:uid="{00000000-0005-0000-0000-000082040000}"/>
    <cellStyle name="Comma 3 2 2 39" xfId="1156" xr:uid="{00000000-0005-0000-0000-000083040000}"/>
    <cellStyle name="Comma 3 2 2 4" xfId="1157" xr:uid="{00000000-0005-0000-0000-000084040000}"/>
    <cellStyle name="Comma 3 2 2 40" xfId="1158" xr:uid="{00000000-0005-0000-0000-000085040000}"/>
    <cellStyle name="Comma 3 2 2 41" xfId="1159" xr:uid="{00000000-0005-0000-0000-000086040000}"/>
    <cellStyle name="Comma 3 2 2 42" xfId="1160" xr:uid="{00000000-0005-0000-0000-000087040000}"/>
    <cellStyle name="Comma 3 2 2 43" xfId="1161" xr:uid="{00000000-0005-0000-0000-000088040000}"/>
    <cellStyle name="Comma 3 2 2 44" xfId="1162" xr:uid="{00000000-0005-0000-0000-000089040000}"/>
    <cellStyle name="Comma 3 2 2 45" xfId="1163" xr:uid="{00000000-0005-0000-0000-00008A040000}"/>
    <cellStyle name="Comma 3 2 2 46" xfId="1164" xr:uid="{00000000-0005-0000-0000-00008B040000}"/>
    <cellStyle name="Comma 3 2 2 47" xfId="1165" xr:uid="{00000000-0005-0000-0000-00008C040000}"/>
    <cellStyle name="Comma 3 2 2 48" xfId="1166" xr:uid="{00000000-0005-0000-0000-00008D040000}"/>
    <cellStyle name="Comma 3 2 2 49" xfId="1167" xr:uid="{00000000-0005-0000-0000-00008E040000}"/>
    <cellStyle name="Comma 3 2 2 5" xfId="1168" xr:uid="{00000000-0005-0000-0000-00008F040000}"/>
    <cellStyle name="Comma 3 2 2 6" xfId="1169" xr:uid="{00000000-0005-0000-0000-000090040000}"/>
    <cellStyle name="Comma 3 2 2 7" xfId="1170" xr:uid="{00000000-0005-0000-0000-000091040000}"/>
    <cellStyle name="Comma 3 2 2 8" xfId="1171" xr:uid="{00000000-0005-0000-0000-000092040000}"/>
    <cellStyle name="Comma 3 2 2 9" xfId="1172" xr:uid="{00000000-0005-0000-0000-000093040000}"/>
    <cellStyle name="Comma 3 2 20" xfId="1173" xr:uid="{00000000-0005-0000-0000-000094040000}"/>
    <cellStyle name="Comma 3 2 21" xfId="1174" xr:uid="{00000000-0005-0000-0000-000095040000}"/>
    <cellStyle name="Comma 3 2 22" xfId="1175" xr:uid="{00000000-0005-0000-0000-000096040000}"/>
    <cellStyle name="Comma 3 2 23" xfId="1176" xr:uid="{00000000-0005-0000-0000-000097040000}"/>
    <cellStyle name="Comma 3 2 24" xfId="1177" xr:uid="{00000000-0005-0000-0000-000098040000}"/>
    <cellStyle name="Comma 3 2 25" xfId="1178" xr:uid="{00000000-0005-0000-0000-000099040000}"/>
    <cellStyle name="Comma 3 2 26" xfId="1179" xr:uid="{00000000-0005-0000-0000-00009A040000}"/>
    <cellStyle name="Comma 3 2 27" xfId="1180" xr:uid="{00000000-0005-0000-0000-00009B040000}"/>
    <cellStyle name="Comma 3 2 28" xfId="1181" xr:uid="{00000000-0005-0000-0000-00009C040000}"/>
    <cellStyle name="Comma 3 2 29" xfId="1182" xr:uid="{00000000-0005-0000-0000-00009D040000}"/>
    <cellStyle name="Comma 3 2 3" xfId="1183" xr:uid="{00000000-0005-0000-0000-00009E040000}"/>
    <cellStyle name="Comma 3 2 3 2" xfId="1184" xr:uid="{00000000-0005-0000-0000-00009F040000}"/>
    <cellStyle name="Comma 3 2 3 2 2" xfId="1185" xr:uid="{00000000-0005-0000-0000-0000A0040000}"/>
    <cellStyle name="Comma 3 2 3 2 3" xfId="1186" xr:uid="{00000000-0005-0000-0000-0000A1040000}"/>
    <cellStyle name="Comma 3 2 3 3" xfId="1187" xr:uid="{00000000-0005-0000-0000-0000A2040000}"/>
    <cellStyle name="Comma 3 2 3 4" xfId="1188" xr:uid="{00000000-0005-0000-0000-0000A3040000}"/>
    <cellStyle name="Comma 3 2 3 5" xfId="1189" xr:uid="{00000000-0005-0000-0000-0000A4040000}"/>
    <cellStyle name="Comma 3 2 30" xfId="1190" xr:uid="{00000000-0005-0000-0000-0000A5040000}"/>
    <cellStyle name="Comma 3 2 31" xfId="1191" xr:uid="{00000000-0005-0000-0000-0000A6040000}"/>
    <cellStyle name="Comma 3 2 32" xfId="1192" xr:uid="{00000000-0005-0000-0000-0000A7040000}"/>
    <cellStyle name="Comma 3 2 33" xfId="1193" xr:uid="{00000000-0005-0000-0000-0000A8040000}"/>
    <cellStyle name="Comma 3 2 34" xfId="1194" xr:uid="{00000000-0005-0000-0000-0000A9040000}"/>
    <cellStyle name="Comma 3 2 35" xfId="1195" xr:uid="{00000000-0005-0000-0000-0000AA040000}"/>
    <cellStyle name="Comma 3 2 36" xfId="1196" xr:uid="{00000000-0005-0000-0000-0000AB040000}"/>
    <cellStyle name="Comma 3 2 37" xfId="1197" xr:uid="{00000000-0005-0000-0000-0000AC040000}"/>
    <cellStyle name="Comma 3 2 38" xfId="1198" xr:uid="{00000000-0005-0000-0000-0000AD040000}"/>
    <cellStyle name="Comma 3 2 39" xfId="1199" xr:uid="{00000000-0005-0000-0000-0000AE040000}"/>
    <cellStyle name="Comma 3 2 4" xfId="1200" xr:uid="{00000000-0005-0000-0000-0000AF040000}"/>
    <cellStyle name="Comma 3 2 4 2" xfId="1201" xr:uid="{00000000-0005-0000-0000-0000B0040000}"/>
    <cellStyle name="Comma 3 2 4 2 2" xfId="1202" xr:uid="{00000000-0005-0000-0000-0000B1040000}"/>
    <cellStyle name="Comma 3 2 4 2 3" xfId="1203" xr:uid="{00000000-0005-0000-0000-0000B2040000}"/>
    <cellStyle name="Comma 3 2 4 3" xfId="1204" xr:uid="{00000000-0005-0000-0000-0000B3040000}"/>
    <cellStyle name="Comma 3 2 4 4" xfId="1205" xr:uid="{00000000-0005-0000-0000-0000B4040000}"/>
    <cellStyle name="Comma 3 2 4 5" xfId="1206" xr:uid="{00000000-0005-0000-0000-0000B5040000}"/>
    <cellStyle name="Comma 3 2 40" xfId="1207" xr:uid="{00000000-0005-0000-0000-0000B6040000}"/>
    <cellStyle name="Comma 3 2 41" xfId="1208" xr:uid="{00000000-0005-0000-0000-0000B7040000}"/>
    <cellStyle name="Comma 3 2 42" xfId="1209" xr:uid="{00000000-0005-0000-0000-0000B8040000}"/>
    <cellStyle name="Comma 3 2 43" xfId="1210" xr:uid="{00000000-0005-0000-0000-0000B9040000}"/>
    <cellStyle name="Comma 3 2 44" xfId="1211" xr:uid="{00000000-0005-0000-0000-0000BA040000}"/>
    <cellStyle name="Comma 3 2 45" xfId="1212" xr:uid="{00000000-0005-0000-0000-0000BB040000}"/>
    <cellStyle name="Comma 3 2 46" xfId="1213" xr:uid="{00000000-0005-0000-0000-0000BC040000}"/>
    <cellStyle name="Comma 3 2 47" xfId="1214" xr:uid="{00000000-0005-0000-0000-0000BD040000}"/>
    <cellStyle name="Comma 3 2 48" xfId="1215" xr:uid="{00000000-0005-0000-0000-0000BE040000}"/>
    <cellStyle name="Comma 3 2 49" xfId="1216" xr:uid="{00000000-0005-0000-0000-0000BF040000}"/>
    <cellStyle name="Comma 3 2 5" xfId="1217" xr:uid="{00000000-0005-0000-0000-0000C0040000}"/>
    <cellStyle name="Comma 3 2 50" xfId="1218" xr:uid="{00000000-0005-0000-0000-0000C1040000}"/>
    <cellStyle name="Comma 3 2 51" xfId="1219" xr:uid="{00000000-0005-0000-0000-0000C2040000}"/>
    <cellStyle name="Comma 3 2 52" xfId="1220" xr:uid="{00000000-0005-0000-0000-0000C3040000}"/>
    <cellStyle name="Comma 3 2 53" xfId="1221" xr:uid="{00000000-0005-0000-0000-0000C4040000}"/>
    <cellStyle name="Comma 3 2 54" xfId="1222" xr:uid="{00000000-0005-0000-0000-0000C5040000}"/>
    <cellStyle name="Comma 3 2 6" xfId="1223" xr:uid="{00000000-0005-0000-0000-0000C6040000}"/>
    <cellStyle name="Comma 3 2 7" xfId="1224" xr:uid="{00000000-0005-0000-0000-0000C7040000}"/>
    <cellStyle name="Comma 3 2 8" xfId="1225" xr:uid="{00000000-0005-0000-0000-0000C8040000}"/>
    <cellStyle name="Comma 3 2 8 2" xfId="1226" xr:uid="{00000000-0005-0000-0000-0000C9040000}"/>
    <cellStyle name="Comma 3 2 9" xfId="1227" xr:uid="{00000000-0005-0000-0000-0000CA040000}"/>
    <cellStyle name="Comma 3 20" xfId="1228" xr:uid="{00000000-0005-0000-0000-0000CB040000}"/>
    <cellStyle name="Comma 3 21" xfId="1229" xr:uid="{00000000-0005-0000-0000-0000CC040000}"/>
    <cellStyle name="Comma 3 22" xfId="1230" xr:uid="{00000000-0005-0000-0000-0000CD040000}"/>
    <cellStyle name="Comma 3 23" xfId="1231" xr:uid="{00000000-0005-0000-0000-0000CE040000}"/>
    <cellStyle name="Comma 3 24" xfId="1232" xr:uid="{00000000-0005-0000-0000-0000CF040000}"/>
    <cellStyle name="Comma 3 25" xfId="1233" xr:uid="{00000000-0005-0000-0000-0000D0040000}"/>
    <cellStyle name="Comma 3 26" xfId="1234" xr:uid="{00000000-0005-0000-0000-0000D1040000}"/>
    <cellStyle name="Comma 3 27" xfId="1235" xr:uid="{00000000-0005-0000-0000-0000D2040000}"/>
    <cellStyle name="Comma 3 27 2" xfId="1236" xr:uid="{00000000-0005-0000-0000-0000D3040000}"/>
    <cellStyle name="Comma 3 27 2 2" xfId="1237" xr:uid="{00000000-0005-0000-0000-0000D4040000}"/>
    <cellStyle name="Comma 3 27 2 3" xfId="1238" xr:uid="{00000000-0005-0000-0000-0000D5040000}"/>
    <cellStyle name="Comma 3 27 3" xfId="1239" xr:uid="{00000000-0005-0000-0000-0000D6040000}"/>
    <cellStyle name="Comma 3 28" xfId="1240" xr:uid="{00000000-0005-0000-0000-0000D7040000}"/>
    <cellStyle name="Comma 3 28 2" xfId="1241" xr:uid="{00000000-0005-0000-0000-0000D8040000}"/>
    <cellStyle name="Comma 3 28 2 2" xfId="1242" xr:uid="{00000000-0005-0000-0000-0000D9040000}"/>
    <cellStyle name="Comma 3 28 2 3" xfId="1243" xr:uid="{00000000-0005-0000-0000-0000DA040000}"/>
    <cellStyle name="Comma 3 28 3" xfId="1244" xr:uid="{00000000-0005-0000-0000-0000DB040000}"/>
    <cellStyle name="Comma 3 29" xfId="1245" xr:uid="{00000000-0005-0000-0000-0000DC040000}"/>
    <cellStyle name="Comma 3 3" xfId="1246" xr:uid="{00000000-0005-0000-0000-0000DD040000}"/>
    <cellStyle name="Comma 3 3 2" xfId="1247" xr:uid="{00000000-0005-0000-0000-0000DE040000}"/>
    <cellStyle name="Comma 3 3 2 2" xfId="1248" xr:uid="{00000000-0005-0000-0000-0000DF040000}"/>
    <cellStyle name="Comma 3 3 2 2 2" xfId="1249" xr:uid="{00000000-0005-0000-0000-0000E0040000}"/>
    <cellStyle name="Comma 3 3 2 2 3" xfId="1250" xr:uid="{00000000-0005-0000-0000-0000E1040000}"/>
    <cellStyle name="Comma 3 3 2 3" xfId="1251" xr:uid="{00000000-0005-0000-0000-0000E2040000}"/>
    <cellStyle name="Comma 3 3 3" xfId="1252" xr:uid="{00000000-0005-0000-0000-0000E3040000}"/>
    <cellStyle name="Comma 3 3 3 2" xfId="1253" xr:uid="{00000000-0005-0000-0000-0000E4040000}"/>
    <cellStyle name="Comma 3 3 3 2 2" xfId="1254" xr:uid="{00000000-0005-0000-0000-0000E5040000}"/>
    <cellStyle name="Comma 3 3 3 2 3" xfId="1255" xr:uid="{00000000-0005-0000-0000-0000E6040000}"/>
    <cellStyle name="Comma 3 3 3 3" xfId="1256" xr:uid="{00000000-0005-0000-0000-0000E7040000}"/>
    <cellStyle name="Comma 3 3 4" xfId="1257" xr:uid="{00000000-0005-0000-0000-0000E8040000}"/>
    <cellStyle name="Comma 3 3 4 2" xfId="1258" xr:uid="{00000000-0005-0000-0000-0000E9040000}"/>
    <cellStyle name="Comma 3 3 4 2 2" xfId="1259" xr:uid="{00000000-0005-0000-0000-0000EA040000}"/>
    <cellStyle name="Comma 3 3 4 2 3" xfId="1260" xr:uid="{00000000-0005-0000-0000-0000EB040000}"/>
    <cellStyle name="Comma 3 3 4 3" xfId="1261" xr:uid="{00000000-0005-0000-0000-0000EC040000}"/>
    <cellStyle name="Comma 3 3 5" xfId="1262" xr:uid="{00000000-0005-0000-0000-0000ED040000}"/>
    <cellStyle name="Comma 3 3 6" xfId="1263" xr:uid="{00000000-0005-0000-0000-0000EE040000}"/>
    <cellStyle name="Comma 3 3_PM T9 -revised Q3 1.0.xls-adjust G11+FSJ" xfId="1264" xr:uid="{00000000-0005-0000-0000-0000EF040000}"/>
    <cellStyle name="Comma 3 30" xfId="1265" xr:uid="{00000000-0005-0000-0000-0000F0040000}"/>
    <cellStyle name="Comma 3 31" xfId="1266" xr:uid="{00000000-0005-0000-0000-0000F1040000}"/>
    <cellStyle name="Comma 3 32" xfId="1267" xr:uid="{00000000-0005-0000-0000-0000F2040000}"/>
    <cellStyle name="Comma 3 33" xfId="1268" xr:uid="{00000000-0005-0000-0000-0000F3040000}"/>
    <cellStyle name="Comma 3 34" xfId="1269" xr:uid="{00000000-0005-0000-0000-0000F4040000}"/>
    <cellStyle name="Comma 3 35" xfId="1270" xr:uid="{00000000-0005-0000-0000-0000F5040000}"/>
    <cellStyle name="Comma 3 36" xfId="1271" xr:uid="{00000000-0005-0000-0000-0000F6040000}"/>
    <cellStyle name="Comma 3 37" xfId="1272" xr:uid="{00000000-0005-0000-0000-0000F7040000}"/>
    <cellStyle name="Comma 3 38" xfId="1273" xr:uid="{00000000-0005-0000-0000-0000F8040000}"/>
    <cellStyle name="Comma 3 39" xfId="1274" xr:uid="{00000000-0005-0000-0000-0000F9040000}"/>
    <cellStyle name="Comma 3 4" xfId="1275" xr:uid="{00000000-0005-0000-0000-0000FA040000}"/>
    <cellStyle name="Comma 3 40" xfId="1276" xr:uid="{00000000-0005-0000-0000-0000FB040000}"/>
    <cellStyle name="Comma 3 41" xfId="1277" xr:uid="{00000000-0005-0000-0000-0000FC040000}"/>
    <cellStyle name="Comma 3 42" xfId="1278" xr:uid="{00000000-0005-0000-0000-0000FD040000}"/>
    <cellStyle name="Comma 3 43" xfId="1279" xr:uid="{00000000-0005-0000-0000-0000FE040000}"/>
    <cellStyle name="Comma 3 44" xfId="1280" xr:uid="{00000000-0005-0000-0000-0000FF040000}"/>
    <cellStyle name="Comma 3 45" xfId="1281" xr:uid="{00000000-0005-0000-0000-000000050000}"/>
    <cellStyle name="Comma 3 46" xfId="1282" xr:uid="{00000000-0005-0000-0000-000001050000}"/>
    <cellStyle name="Comma 3 47" xfId="1283" xr:uid="{00000000-0005-0000-0000-000002050000}"/>
    <cellStyle name="Comma 3 48" xfId="1284" xr:uid="{00000000-0005-0000-0000-000003050000}"/>
    <cellStyle name="Comma 3 49" xfId="1285" xr:uid="{00000000-0005-0000-0000-000004050000}"/>
    <cellStyle name="Comma 3 5" xfId="1286" xr:uid="{00000000-0005-0000-0000-000005050000}"/>
    <cellStyle name="Comma 3 5 2" xfId="1287" xr:uid="{00000000-0005-0000-0000-000006050000}"/>
    <cellStyle name="Comma 3 5 2 2" xfId="1288" xr:uid="{00000000-0005-0000-0000-000007050000}"/>
    <cellStyle name="Comma 3 5 2 3" xfId="1289" xr:uid="{00000000-0005-0000-0000-000008050000}"/>
    <cellStyle name="Comma 3 5 3" xfId="1290" xr:uid="{00000000-0005-0000-0000-000009050000}"/>
    <cellStyle name="Comma 3 50" xfId="1291" xr:uid="{00000000-0005-0000-0000-00000A050000}"/>
    <cellStyle name="Comma 3 51" xfId="1292" xr:uid="{00000000-0005-0000-0000-00000B050000}"/>
    <cellStyle name="Comma 3 52" xfId="1293" xr:uid="{00000000-0005-0000-0000-00000C050000}"/>
    <cellStyle name="Comma 3 53" xfId="1294" xr:uid="{00000000-0005-0000-0000-00000D050000}"/>
    <cellStyle name="Comma 3 54" xfId="1295" xr:uid="{00000000-0005-0000-0000-00000E050000}"/>
    <cellStyle name="Comma 3 55" xfId="1296" xr:uid="{00000000-0005-0000-0000-00000F050000}"/>
    <cellStyle name="Comma 3 56" xfId="1297" xr:uid="{00000000-0005-0000-0000-000010050000}"/>
    <cellStyle name="Comma 3 57" xfId="1298" xr:uid="{00000000-0005-0000-0000-000011050000}"/>
    <cellStyle name="Comma 3 58" xfId="1299" xr:uid="{00000000-0005-0000-0000-000012050000}"/>
    <cellStyle name="Comma 3 59" xfId="1300" xr:uid="{00000000-0005-0000-0000-000013050000}"/>
    <cellStyle name="Comma 3 6" xfId="1301" xr:uid="{00000000-0005-0000-0000-000014050000}"/>
    <cellStyle name="Comma 3 6 2" xfId="1302" xr:uid="{00000000-0005-0000-0000-000015050000}"/>
    <cellStyle name="Comma 3 6 2 2" xfId="1303" xr:uid="{00000000-0005-0000-0000-000016050000}"/>
    <cellStyle name="Comma 3 6 2 3" xfId="1304" xr:uid="{00000000-0005-0000-0000-000017050000}"/>
    <cellStyle name="Comma 3 6 3" xfId="1305" xr:uid="{00000000-0005-0000-0000-000018050000}"/>
    <cellStyle name="Comma 3 60" xfId="1306" xr:uid="{00000000-0005-0000-0000-000019050000}"/>
    <cellStyle name="Comma 3 61" xfId="1307" xr:uid="{00000000-0005-0000-0000-00001A050000}"/>
    <cellStyle name="Comma 3 62" xfId="1308" xr:uid="{00000000-0005-0000-0000-00001B050000}"/>
    <cellStyle name="Comma 3 63" xfId="1309" xr:uid="{00000000-0005-0000-0000-00001C050000}"/>
    <cellStyle name="Comma 3 64" xfId="1310" xr:uid="{00000000-0005-0000-0000-00001D050000}"/>
    <cellStyle name="Comma 3 65" xfId="1311" xr:uid="{00000000-0005-0000-0000-00001E050000}"/>
    <cellStyle name="Comma 3 66" xfId="1312" xr:uid="{00000000-0005-0000-0000-00001F050000}"/>
    <cellStyle name="Comma 3 67" xfId="1313" xr:uid="{00000000-0005-0000-0000-000020050000}"/>
    <cellStyle name="Comma 3 68" xfId="1314" xr:uid="{00000000-0005-0000-0000-000021050000}"/>
    <cellStyle name="Comma 3 69" xfId="1315" xr:uid="{00000000-0005-0000-0000-000022050000}"/>
    <cellStyle name="Comma 3 7" xfId="1316" xr:uid="{00000000-0005-0000-0000-000023050000}"/>
    <cellStyle name="Comma 3 7 2" xfId="1317" xr:uid="{00000000-0005-0000-0000-000024050000}"/>
    <cellStyle name="Comma 3 7 3" xfId="1318" xr:uid="{00000000-0005-0000-0000-000025050000}"/>
    <cellStyle name="Comma 3 70" xfId="1319" xr:uid="{00000000-0005-0000-0000-000026050000}"/>
    <cellStyle name="Comma 3 71" xfId="1320" xr:uid="{00000000-0005-0000-0000-000027050000}"/>
    <cellStyle name="Comma 3 72" xfId="1321" xr:uid="{00000000-0005-0000-0000-000028050000}"/>
    <cellStyle name="Comma 3 73" xfId="1322" xr:uid="{00000000-0005-0000-0000-000029050000}"/>
    <cellStyle name="Comma 3 74" xfId="1323" xr:uid="{00000000-0005-0000-0000-00002A050000}"/>
    <cellStyle name="Comma 3 8" xfId="1324" xr:uid="{00000000-0005-0000-0000-00002B050000}"/>
    <cellStyle name="Comma 3 8 2" xfId="1325" xr:uid="{00000000-0005-0000-0000-00002C050000}"/>
    <cellStyle name="Comma 3 8 3" xfId="1326" xr:uid="{00000000-0005-0000-0000-00002D050000}"/>
    <cellStyle name="Comma 3 9" xfId="1327" xr:uid="{00000000-0005-0000-0000-00002E050000}"/>
    <cellStyle name="Comma 3 9 2" xfId="1328" xr:uid="{00000000-0005-0000-0000-00002F050000}"/>
    <cellStyle name="Comma 3 9 3" xfId="1329" xr:uid="{00000000-0005-0000-0000-000030050000}"/>
    <cellStyle name="Comma 3_PM T9 -revised Q3 1.0.xls-adjust G11+FSJ" xfId="1330" xr:uid="{00000000-0005-0000-0000-000031050000}"/>
    <cellStyle name="Comma 30" xfId="1331" xr:uid="{00000000-0005-0000-0000-000032050000}"/>
    <cellStyle name="Comma 31" xfId="1332" xr:uid="{00000000-0005-0000-0000-000033050000}"/>
    <cellStyle name="Comma 32" xfId="1333" xr:uid="{00000000-0005-0000-0000-000034050000}"/>
    <cellStyle name="Comma 33" xfId="1334" xr:uid="{00000000-0005-0000-0000-000035050000}"/>
    <cellStyle name="Comma 33 2" xfId="1335" xr:uid="{00000000-0005-0000-0000-000036050000}"/>
    <cellStyle name="Comma 35" xfId="1336" xr:uid="{00000000-0005-0000-0000-000037050000}"/>
    <cellStyle name="Comma 35 2" xfId="1337" xr:uid="{00000000-0005-0000-0000-000038050000}"/>
    <cellStyle name="Comma 35 3" xfId="1338" xr:uid="{00000000-0005-0000-0000-000039050000}"/>
    <cellStyle name="Comma 36" xfId="1339" xr:uid="{00000000-0005-0000-0000-00003A050000}"/>
    <cellStyle name="Comma 36 2" xfId="1340" xr:uid="{00000000-0005-0000-0000-00003B050000}"/>
    <cellStyle name="Comma 36 2 2" xfId="1341" xr:uid="{00000000-0005-0000-0000-00003C050000}"/>
    <cellStyle name="Comma 36 2 3" xfId="1342" xr:uid="{00000000-0005-0000-0000-00003D050000}"/>
    <cellStyle name="Comma 36 3" xfId="1343" xr:uid="{00000000-0005-0000-0000-00003E050000}"/>
    <cellStyle name="Comma 36 4" xfId="1344" xr:uid="{00000000-0005-0000-0000-00003F050000}"/>
    <cellStyle name="Comma 39" xfId="1345" xr:uid="{00000000-0005-0000-0000-000040050000}"/>
    <cellStyle name="Comma 4" xfId="1346" xr:uid="{00000000-0005-0000-0000-000041050000}"/>
    <cellStyle name="Comma 4 10" xfId="1347" xr:uid="{00000000-0005-0000-0000-000042050000}"/>
    <cellStyle name="Comma 4 11" xfId="1348" xr:uid="{00000000-0005-0000-0000-000043050000}"/>
    <cellStyle name="Comma 4 12" xfId="1349" xr:uid="{00000000-0005-0000-0000-000044050000}"/>
    <cellStyle name="Comma 4 13" xfId="1350" xr:uid="{00000000-0005-0000-0000-000045050000}"/>
    <cellStyle name="Comma 4 14" xfId="1351" xr:uid="{00000000-0005-0000-0000-000046050000}"/>
    <cellStyle name="Comma 4 15" xfId="1352" xr:uid="{00000000-0005-0000-0000-000047050000}"/>
    <cellStyle name="Comma 4 16" xfId="1353" xr:uid="{00000000-0005-0000-0000-000048050000}"/>
    <cellStyle name="Comma 4 17" xfId="1354" xr:uid="{00000000-0005-0000-0000-000049050000}"/>
    <cellStyle name="Comma 4 18" xfId="1355" xr:uid="{00000000-0005-0000-0000-00004A050000}"/>
    <cellStyle name="Comma 4 19" xfId="1356" xr:uid="{00000000-0005-0000-0000-00004B050000}"/>
    <cellStyle name="Comma 4 2" xfId="1357" xr:uid="{00000000-0005-0000-0000-00004C050000}"/>
    <cellStyle name="Comma 4 20" xfId="1358" xr:uid="{00000000-0005-0000-0000-00004D050000}"/>
    <cellStyle name="Comma 4 21" xfId="1359" xr:uid="{00000000-0005-0000-0000-00004E050000}"/>
    <cellStyle name="Comma 4 22" xfId="1360" xr:uid="{00000000-0005-0000-0000-00004F050000}"/>
    <cellStyle name="Comma 4 23" xfId="1361" xr:uid="{00000000-0005-0000-0000-000050050000}"/>
    <cellStyle name="Comma 4 24" xfId="1362" xr:uid="{00000000-0005-0000-0000-000051050000}"/>
    <cellStyle name="Comma 4 25" xfId="1363" xr:uid="{00000000-0005-0000-0000-000052050000}"/>
    <cellStyle name="Comma 4 26" xfId="1364" xr:uid="{00000000-0005-0000-0000-000053050000}"/>
    <cellStyle name="Comma 4 27" xfId="1365" xr:uid="{00000000-0005-0000-0000-000054050000}"/>
    <cellStyle name="Comma 4 27 2" xfId="1366" xr:uid="{00000000-0005-0000-0000-000055050000}"/>
    <cellStyle name="Comma 4 27 3" xfId="1367" xr:uid="{00000000-0005-0000-0000-000056050000}"/>
    <cellStyle name="Comma 4 28" xfId="1368" xr:uid="{00000000-0005-0000-0000-000057050000}"/>
    <cellStyle name="Comma 4 29" xfId="1369" xr:uid="{00000000-0005-0000-0000-000058050000}"/>
    <cellStyle name="Comma 4 3" xfId="1370" xr:uid="{00000000-0005-0000-0000-000059050000}"/>
    <cellStyle name="Comma 4 30" xfId="1371" xr:uid="{00000000-0005-0000-0000-00005A050000}"/>
    <cellStyle name="Comma 4 31" xfId="1372" xr:uid="{00000000-0005-0000-0000-00005B050000}"/>
    <cellStyle name="Comma 4 32" xfId="1373" xr:uid="{00000000-0005-0000-0000-00005C050000}"/>
    <cellStyle name="Comma 4 33" xfId="1374" xr:uid="{00000000-0005-0000-0000-00005D050000}"/>
    <cellStyle name="Comma 4 34" xfId="1375" xr:uid="{00000000-0005-0000-0000-00005E050000}"/>
    <cellStyle name="Comma 4 35" xfId="1376" xr:uid="{00000000-0005-0000-0000-00005F050000}"/>
    <cellStyle name="Comma 4 36" xfId="1377" xr:uid="{00000000-0005-0000-0000-000060050000}"/>
    <cellStyle name="Comma 4 37" xfId="1378" xr:uid="{00000000-0005-0000-0000-000061050000}"/>
    <cellStyle name="Comma 4 38" xfId="1379" xr:uid="{00000000-0005-0000-0000-000062050000}"/>
    <cellStyle name="Comma 4 39" xfId="1380" xr:uid="{00000000-0005-0000-0000-000063050000}"/>
    <cellStyle name="Comma 4 4" xfId="1381" xr:uid="{00000000-0005-0000-0000-000064050000}"/>
    <cellStyle name="Comma 4 40" xfId="1382" xr:uid="{00000000-0005-0000-0000-000065050000}"/>
    <cellStyle name="Comma 4 41" xfId="1383" xr:uid="{00000000-0005-0000-0000-000066050000}"/>
    <cellStyle name="Comma 4 42" xfId="1384" xr:uid="{00000000-0005-0000-0000-000067050000}"/>
    <cellStyle name="Comma 4 43" xfId="1385" xr:uid="{00000000-0005-0000-0000-000068050000}"/>
    <cellStyle name="Comma 4 44" xfId="1386" xr:uid="{00000000-0005-0000-0000-000069050000}"/>
    <cellStyle name="Comma 4 45" xfId="1387" xr:uid="{00000000-0005-0000-0000-00006A050000}"/>
    <cellStyle name="Comma 4 46" xfId="1388" xr:uid="{00000000-0005-0000-0000-00006B050000}"/>
    <cellStyle name="Comma 4 47" xfId="1389" xr:uid="{00000000-0005-0000-0000-00006C050000}"/>
    <cellStyle name="Comma 4 48" xfId="1390" xr:uid="{00000000-0005-0000-0000-00006D050000}"/>
    <cellStyle name="Comma 4 49" xfId="1391" xr:uid="{00000000-0005-0000-0000-00006E050000}"/>
    <cellStyle name="Comma 4 5" xfId="1392" xr:uid="{00000000-0005-0000-0000-00006F050000}"/>
    <cellStyle name="Comma 4 50" xfId="1393" xr:uid="{00000000-0005-0000-0000-000070050000}"/>
    <cellStyle name="Comma 4 51" xfId="1394" xr:uid="{00000000-0005-0000-0000-000071050000}"/>
    <cellStyle name="Comma 4 52" xfId="1395" xr:uid="{00000000-0005-0000-0000-000072050000}"/>
    <cellStyle name="Comma 4 53" xfId="1396" xr:uid="{00000000-0005-0000-0000-000073050000}"/>
    <cellStyle name="Comma 4 54" xfId="1397" xr:uid="{00000000-0005-0000-0000-000074050000}"/>
    <cellStyle name="Comma 4 55" xfId="1398" xr:uid="{00000000-0005-0000-0000-000075050000}"/>
    <cellStyle name="Comma 4 56" xfId="1399" xr:uid="{00000000-0005-0000-0000-000076050000}"/>
    <cellStyle name="Comma 4 57" xfId="1400" xr:uid="{00000000-0005-0000-0000-000077050000}"/>
    <cellStyle name="Comma 4 58" xfId="1401" xr:uid="{00000000-0005-0000-0000-000078050000}"/>
    <cellStyle name="Comma 4 59" xfId="1402" xr:uid="{00000000-0005-0000-0000-000079050000}"/>
    <cellStyle name="Comma 4 6" xfId="1403" xr:uid="{00000000-0005-0000-0000-00007A050000}"/>
    <cellStyle name="Comma 4 60" xfId="1404" xr:uid="{00000000-0005-0000-0000-00007B050000}"/>
    <cellStyle name="Comma 4 61" xfId="1405" xr:uid="{00000000-0005-0000-0000-00007C050000}"/>
    <cellStyle name="Comma 4 62" xfId="1406" xr:uid="{00000000-0005-0000-0000-00007D050000}"/>
    <cellStyle name="Comma 4 63" xfId="1407" xr:uid="{00000000-0005-0000-0000-00007E050000}"/>
    <cellStyle name="Comma 4 64" xfId="1408" xr:uid="{00000000-0005-0000-0000-00007F050000}"/>
    <cellStyle name="Comma 4 65" xfId="1409" xr:uid="{00000000-0005-0000-0000-000080050000}"/>
    <cellStyle name="Comma 4 66" xfId="1410" xr:uid="{00000000-0005-0000-0000-000081050000}"/>
    <cellStyle name="Comma 4 67" xfId="1411" xr:uid="{00000000-0005-0000-0000-000082050000}"/>
    <cellStyle name="Comma 4 68" xfId="1412" xr:uid="{00000000-0005-0000-0000-000083050000}"/>
    <cellStyle name="Comma 4 69" xfId="1413" xr:uid="{00000000-0005-0000-0000-000084050000}"/>
    <cellStyle name="Comma 4 7" xfId="1414" xr:uid="{00000000-0005-0000-0000-000085050000}"/>
    <cellStyle name="Comma 4 70" xfId="1415" xr:uid="{00000000-0005-0000-0000-000086050000}"/>
    <cellStyle name="Comma 4 71" xfId="1416" xr:uid="{00000000-0005-0000-0000-000087050000}"/>
    <cellStyle name="Comma 4 72" xfId="1417" xr:uid="{00000000-0005-0000-0000-000088050000}"/>
    <cellStyle name="Comma 4 8" xfId="1418" xr:uid="{00000000-0005-0000-0000-000089050000}"/>
    <cellStyle name="Comma 4 9" xfId="1419" xr:uid="{00000000-0005-0000-0000-00008A050000}"/>
    <cellStyle name="Comma 4_PM T9 -revised Q3 1.0.xls-adjust G11+FSJ" xfId="1420" xr:uid="{00000000-0005-0000-0000-00008B050000}"/>
    <cellStyle name="Comma 48" xfId="1421" xr:uid="{00000000-0005-0000-0000-00008C050000}"/>
    <cellStyle name="Comma 48 2" xfId="1422" xr:uid="{00000000-0005-0000-0000-00008D050000}"/>
    <cellStyle name="Comma 48 3" xfId="1423" xr:uid="{00000000-0005-0000-0000-00008E050000}"/>
    <cellStyle name="Comma 5" xfId="1424" xr:uid="{00000000-0005-0000-0000-00008F050000}"/>
    <cellStyle name="Comma 5 2" xfId="1425" xr:uid="{00000000-0005-0000-0000-000090050000}"/>
    <cellStyle name="Comma 5 2 10" xfId="1426" xr:uid="{00000000-0005-0000-0000-000091050000}"/>
    <cellStyle name="Comma 5 2 11" xfId="1427" xr:uid="{00000000-0005-0000-0000-000092050000}"/>
    <cellStyle name="Comma 5 2 12" xfId="1428" xr:uid="{00000000-0005-0000-0000-000093050000}"/>
    <cellStyle name="Comma 5 2 13" xfId="1429" xr:uid="{00000000-0005-0000-0000-000094050000}"/>
    <cellStyle name="Comma 5 2 14" xfId="1430" xr:uid="{00000000-0005-0000-0000-000095050000}"/>
    <cellStyle name="Comma 5 2 15" xfId="1431" xr:uid="{00000000-0005-0000-0000-000096050000}"/>
    <cellStyle name="Comma 5 2 16" xfId="1432" xr:uid="{00000000-0005-0000-0000-000097050000}"/>
    <cellStyle name="Comma 5 2 17" xfId="1433" xr:uid="{00000000-0005-0000-0000-000098050000}"/>
    <cellStyle name="Comma 5 2 18" xfId="1434" xr:uid="{00000000-0005-0000-0000-000099050000}"/>
    <cellStyle name="Comma 5 2 19" xfId="1435" xr:uid="{00000000-0005-0000-0000-00009A050000}"/>
    <cellStyle name="Comma 5 2 2" xfId="1436" xr:uid="{00000000-0005-0000-0000-00009B050000}"/>
    <cellStyle name="Comma 5 2 2 2" xfId="1437" xr:uid="{00000000-0005-0000-0000-00009C050000}"/>
    <cellStyle name="Comma 5 2 2 3" xfId="1438" xr:uid="{00000000-0005-0000-0000-00009D050000}"/>
    <cellStyle name="Comma 5 2 20" xfId="1439" xr:uid="{00000000-0005-0000-0000-00009E050000}"/>
    <cellStyle name="Comma 5 2 21" xfId="1440" xr:uid="{00000000-0005-0000-0000-00009F050000}"/>
    <cellStyle name="Comma 5 2 22" xfId="1441" xr:uid="{00000000-0005-0000-0000-0000A0050000}"/>
    <cellStyle name="Comma 5 2 23" xfId="1442" xr:uid="{00000000-0005-0000-0000-0000A1050000}"/>
    <cellStyle name="Comma 5 2 24" xfId="1443" xr:uid="{00000000-0005-0000-0000-0000A2050000}"/>
    <cellStyle name="Comma 5 2 25" xfId="1444" xr:uid="{00000000-0005-0000-0000-0000A3050000}"/>
    <cellStyle name="Comma 5 2 26" xfId="1445" xr:uid="{00000000-0005-0000-0000-0000A4050000}"/>
    <cellStyle name="Comma 5 2 27" xfId="1446" xr:uid="{00000000-0005-0000-0000-0000A5050000}"/>
    <cellStyle name="Comma 5 2 28" xfId="1447" xr:uid="{00000000-0005-0000-0000-0000A6050000}"/>
    <cellStyle name="Comma 5 2 29" xfId="1448" xr:uid="{00000000-0005-0000-0000-0000A7050000}"/>
    <cellStyle name="Comma 5 2 3" xfId="1449" xr:uid="{00000000-0005-0000-0000-0000A8050000}"/>
    <cellStyle name="Comma 5 2 30" xfId="1450" xr:uid="{00000000-0005-0000-0000-0000A9050000}"/>
    <cellStyle name="Comma 5 2 31" xfId="1451" xr:uid="{00000000-0005-0000-0000-0000AA050000}"/>
    <cellStyle name="Comma 5 2 32" xfId="1452" xr:uid="{00000000-0005-0000-0000-0000AB050000}"/>
    <cellStyle name="Comma 5 2 33" xfId="1453" xr:uid="{00000000-0005-0000-0000-0000AC050000}"/>
    <cellStyle name="Comma 5 2 34" xfId="1454" xr:uid="{00000000-0005-0000-0000-0000AD050000}"/>
    <cellStyle name="Comma 5 2 35" xfId="1455" xr:uid="{00000000-0005-0000-0000-0000AE050000}"/>
    <cellStyle name="Comma 5 2 36" xfId="1456" xr:uid="{00000000-0005-0000-0000-0000AF050000}"/>
    <cellStyle name="Comma 5 2 37" xfId="1457" xr:uid="{00000000-0005-0000-0000-0000B0050000}"/>
    <cellStyle name="Comma 5 2 38" xfId="1458" xr:uid="{00000000-0005-0000-0000-0000B1050000}"/>
    <cellStyle name="Comma 5 2 39" xfId="1459" xr:uid="{00000000-0005-0000-0000-0000B2050000}"/>
    <cellStyle name="Comma 5 2 4" xfId="1460" xr:uid="{00000000-0005-0000-0000-0000B3050000}"/>
    <cellStyle name="Comma 5 2 40" xfId="1461" xr:uid="{00000000-0005-0000-0000-0000B4050000}"/>
    <cellStyle name="Comma 5 2 41" xfId="1462" xr:uid="{00000000-0005-0000-0000-0000B5050000}"/>
    <cellStyle name="Comma 5 2 42" xfId="1463" xr:uid="{00000000-0005-0000-0000-0000B6050000}"/>
    <cellStyle name="Comma 5 2 43" xfId="1464" xr:uid="{00000000-0005-0000-0000-0000B7050000}"/>
    <cellStyle name="Comma 5 2 44" xfId="1465" xr:uid="{00000000-0005-0000-0000-0000B8050000}"/>
    <cellStyle name="Comma 5 2 45" xfId="1466" xr:uid="{00000000-0005-0000-0000-0000B9050000}"/>
    <cellStyle name="Comma 5 2 46" xfId="1467" xr:uid="{00000000-0005-0000-0000-0000BA050000}"/>
    <cellStyle name="Comma 5 2 47" xfId="1468" xr:uid="{00000000-0005-0000-0000-0000BB050000}"/>
    <cellStyle name="Comma 5 2 5" xfId="1469" xr:uid="{00000000-0005-0000-0000-0000BC050000}"/>
    <cellStyle name="Comma 5 2 6" xfId="1470" xr:uid="{00000000-0005-0000-0000-0000BD050000}"/>
    <cellStyle name="Comma 5 2 7" xfId="1471" xr:uid="{00000000-0005-0000-0000-0000BE050000}"/>
    <cellStyle name="Comma 5 2 8" xfId="1472" xr:uid="{00000000-0005-0000-0000-0000BF050000}"/>
    <cellStyle name="Comma 5 2 9" xfId="1473" xr:uid="{00000000-0005-0000-0000-0000C0050000}"/>
    <cellStyle name="Comma 5 3" xfId="1474" xr:uid="{00000000-0005-0000-0000-0000C1050000}"/>
    <cellStyle name="Comma 5 4" xfId="1475" xr:uid="{00000000-0005-0000-0000-0000C2050000}"/>
    <cellStyle name="Comma 5 5" xfId="1476" xr:uid="{00000000-0005-0000-0000-0000C3050000}"/>
    <cellStyle name="Comma 5 6" xfId="1477" xr:uid="{00000000-0005-0000-0000-0000C4050000}"/>
    <cellStyle name="Comma 53" xfId="1478" xr:uid="{00000000-0005-0000-0000-0000C5050000}"/>
    <cellStyle name="Comma 53 2" xfId="1479" xr:uid="{00000000-0005-0000-0000-0000C6050000}"/>
    <cellStyle name="Comma 53 3" xfId="1480" xr:uid="{00000000-0005-0000-0000-0000C7050000}"/>
    <cellStyle name="Comma 57" xfId="1481" xr:uid="{00000000-0005-0000-0000-0000C8050000}"/>
    <cellStyle name="Comma 58" xfId="1482" xr:uid="{00000000-0005-0000-0000-0000C9050000}"/>
    <cellStyle name="Comma 59" xfId="1483" xr:uid="{00000000-0005-0000-0000-0000CA050000}"/>
    <cellStyle name="Comma 6" xfId="1484" xr:uid="{00000000-0005-0000-0000-0000CB050000}"/>
    <cellStyle name="Comma 6 10" xfId="1485" xr:uid="{00000000-0005-0000-0000-0000CC050000}"/>
    <cellStyle name="Comma 6 11" xfId="1486" xr:uid="{00000000-0005-0000-0000-0000CD050000}"/>
    <cellStyle name="Comma 6 12" xfId="1487" xr:uid="{00000000-0005-0000-0000-0000CE050000}"/>
    <cellStyle name="Comma 6 13" xfId="1488" xr:uid="{00000000-0005-0000-0000-0000CF050000}"/>
    <cellStyle name="Comma 6 14" xfId="1489" xr:uid="{00000000-0005-0000-0000-0000D0050000}"/>
    <cellStyle name="Comma 6 15" xfId="1490" xr:uid="{00000000-0005-0000-0000-0000D1050000}"/>
    <cellStyle name="Comma 6 16" xfId="1491" xr:uid="{00000000-0005-0000-0000-0000D2050000}"/>
    <cellStyle name="Comma 6 17" xfId="1492" xr:uid="{00000000-0005-0000-0000-0000D3050000}"/>
    <cellStyle name="Comma 6 18" xfId="1493" xr:uid="{00000000-0005-0000-0000-0000D4050000}"/>
    <cellStyle name="Comma 6 19" xfId="1494" xr:uid="{00000000-0005-0000-0000-0000D5050000}"/>
    <cellStyle name="Comma 6 2" xfId="1495" xr:uid="{00000000-0005-0000-0000-0000D6050000}"/>
    <cellStyle name="Comma 6 2 10" xfId="1496" xr:uid="{00000000-0005-0000-0000-0000D7050000}"/>
    <cellStyle name="Comma 6 2 11" xfId="1497" xr:uid="{00000000-0005-0000-0000-0000D8050000}"/>
    <cellStyle name="Comma 6 2 12" xfId="1498" xr:uid="{00000000-0005-0000-0000-0000D9050000}"/>
    <cellStyle name="Comma 6 2 13" xfId="1499" xr:uid="{00000000-0005-0000-0000-0000DA050000}"/>
    <cellStyle name="Comma 6 2 14" xfId="1500" xr:uid="{00000000-0005-0000-0000-0000DB050000}"/>
    <cellStyle name="Comma 6 2 15" xfId="1501" xr:uid="{00000000-0005-0000-0000-0000DC050000}"/>
    <cellStyle name="Comma 6 2 16" xfId="1502" xr:uid="{00000000-0005-0000-0000-0000DD050000}"/>
    <cellStyle name="Comma 6 2 17" xfId="1503" xr:uid="{00000000-0005-0000-0000-0000DE050000}"/>
    <cellStyle name="Comma 6 2 18" xfId="1504" xr:uid="{00000000-0005-0000-0000-0000DF050000}"/>
    <cellStyle name="Comma 6 2 19" xfId="1505" xr:uid="{00000000-0005-0000-0000-0000E0050000}"/>
    <cellStyle name="Comma 6 2 2" xfId="1506" xr:uid="{00000000-0005-0000-0000-0000E1050000}"/>
    <cellStyle name="Comma 6 2 20" xfId="1507" xr:uid="{00000000-0005-0000-0000-0000E2050000}"/>
    <cellStyle name="Comma 6 2 21" xfId="1508" xr:uid="{00000000-0005-0000-0000-0000E3050000}"/>
    <cellStyle name="Comma 6 2 22" xfId="1509" xr:uid="{00000000-0005-0000-0000-0000E4050000}"/>
    <cellStyle name="Comma 6 2 23" xfId="1510" xr:uid="{00000000-0005-0000-0000-0000E5050000}"/>
    <cellStyle name="Comma 6 2 24" xfId="1511" xr:uid="{00000000-0005-0000-0000-0000E6050000}"/>
    <cellStyle name="Comma 6 2 25" xfId="1512" xr:uid="{00000000-0005-0000-0000-0000E7050000}"/>
    <cellStyle name="Comma 6 2 26" xfId="1513" xr:uid="{00000000-0005-0000-0000-0000E8050000}"/>
    <cellStyle name="Comma 6 2 27" xfId="1514" xr:uid="{00000000-0005-0000-0000-0000E9050000}"/>
    <cellStyle name="Comma 6 2 28" xfId="1515" xr:uid="{00000000-0005-0000-0000-0000EA050000}"/>
    <cellStyle name="Comma 6 2 29" xfId="1516" xr:uid="{00000000-0005-0000-0000-0000EB050000}"/>
    <cellStyle name="Comma 6 2 3" xfId="1517" xr:uid="{00000000-0005-0000-0000-0000EC050000}"/>
    <cellStyle name="Comma 6 2 30" xfId="1518" xr:uid="{00000000-0005-0000-0000-0000ED050000}"/>
    <cellStyle name="Comma 6 2 31" xfId="1519" xr:uid="{00000000-0005-0000-0000-0000EE050000}"/>
    <cellStyle name="Comma 6 2 32" xfId="1520" xr:uid="{00000000-0005-0000-0000-0000EF050000}"/>
    <cellStyle name="Comma 6 2 33" xfId="1521" xr:uid="{00000000-0005-0000-0000-0000F0050000}"/>
    <cellStyle name="Comma 6 2 34" xfId="1522" xr:uid="{00000000-0005-0000-0000-0000F1050000}"/>
    <cellStyle name="Comma 6 2 35" xfId="1523" xr:uid="{00000000-0005-0000-0000-0000F2050000}"/>
    <cellStyle name="Comma 6 2 36" xfId="1524" xr:uid="{00000000-0005-0000-0000-0000F3050000}"/>
    <cellStyle name="Comma 6 2 37" xfId="1525" xr:uid="{00000000-0005-0000-0000-0000F4050000}"/>
    <cellStyle name="Comma 6 2 38" xfId="1526" xr:uid="{00000000-0005-0000-0000-0000F5050000}"/>
    <cellStyle name="Comma 6 2 39" xfId="1527" xr:uid="{00000000-0005-0000-0000-0000F6050000}"/>
    <cellStyle name="Comma 6 2 4" xfId="1528" xr:uid="{00000000-0005-0000-0000-0000F7050000}"/>
    <cellStyle name="Comma 6 2 40" xfId="1529" xr:uid="{00000000-0005-0000-0000-0000F8050000}"/>
    <cellStyle name="Comma 6 2 41" xfId="1530" xr:uid="{00000000-0005-0000-0000-0000F9050000}"/>
    <cellStyle name="Comma 6 2 42" xfId="1531" xr:uid="{00000000-0005-0000-0000-0000FA050000}"/>
    <cellStyle name="Comma 6 2 43" xfId="1532" xr:uid="{00000000-0005-0000-0000-0000FB050000}"/>
    <cellStyle name="Comma 6 2 44" xfId="1533" xr:uid="{00000000-0005-0000-0000-0000FC050000}"/>
    <cellStyle name="Comma 6 2 45" xfId="1534" xr:uid="{00000000-0005-0000-0000-0000FD050000}"/>
    <cellStyle name="Comma 6 2 46" xfId="1535" xr:uid="{00000000-0005-0000-0000-0000FE050000}"/>
    <cellStyle name="Comma 6 2 5" xfId="1536" xr:uid="{00000000-0005-0000-0000-0000FF050000}"/>
    <cellStyle name="Comma 6 2 6" xfId="1537" xr:uid="{00000000-0005-0000-0000-000000060000}"/>
    <cellStyle name="Comma 6 2 7" xfId="1538" xr:uid="{00000000-0005-0000-0000-000001060000}"/>
    <cellStyle name="Comma 6 2 8" xfId="1539" xr:uid="{00000000-0005-0000-0000-000002060000}"/>
    <cellStyle name="Comma 6 2 9" xfId="1540" xr:uid="{00000000-0005-0000-0000-000003060000}"/>
    <cellStyle name="Comma 6 20" xfId="1541" xr:uid="{00000000-0005-0000-0000-000004060000}"/>
    <cellStyle name="Comma 6 21" xfId="1542" xr:uid="{00000000-0005-0000-0000-000005060000}"/>
    <cellStyle name="Comma 6 22" xfId="1543" xr:uid="{00000000-0005-0000-0000-000006060000}"/>
    <cellStyle name="Comma 6 23" xfId="1544" xr:uid="{00000000-0005-0000-0000-000007060000}"/>
    <cellStyle name="Comma 6 24" xfId="1545" xr:uid="{00000000-0005-0000-0000-000008060000}"/>
    <cellStyle name="Comma 6 25" xfId="1546" xr:uid="{00000000-0005-0000-0000-000009060000}"/>
    <cellStyle name="Comma 6 26" xfId="1547" xr:uid="{00000000-0005-0000-0000-00000A060000}"/>
    <cellStyle name="Comma 6 27" xfId="1548" xr:uid="{00000000-0005-0000-0000-00000B060000}"/>
    <cellStyle name="Comma 6 28" xfId="1549" xr:uid="{00000000-0005-0000-0000-00000C060000}"/>
    <cellStyle name="Comma 6 29" xfId="1550" xr:uid="{00000000-0005-0000-0000-00000D060000}"/>
    <cellStyle name="Comma 6 3" xfId="1551" xr:uid="{00000000-0005-0000-0000-00000E060000}"/>
    <cellStyle name="Comma 6 30" xfId="1552" xr:uid="{00000000-0005-0000-0000-00000F060000}"/>
    <cellStyle name="Comma 6 31" xfId="1553" xr:uid="{00000000-0005-0000-0000-000010060000}"/>
    <cellStyle name="Comma 6 32" xfId="1554" xr:uid="{00000000-0005-0000-0000-000011060000}"/>
    <cellStyle name="Comma 6 33" xfId="1555" xr:uid="{00000000-0005-0000-0000-000012060000}"/>
    <cellStyle name="Comma 6 34" xfId="1556" xr:uid="{00000000-0005-0000-0000-000013060000}"/>
    <cellStyle name="Comma 6 35" xfId="1557" xr:uid="{00000000-0005-0000-0000-000014060000}"/>
    <cellStyle name="Comma 6 36" xfId="1558" xr:uid="{00000000-0005-0000-0000-000015060000}"/>
    <cellStyle name="Comma 6 37" xfId="1559" xr:uid="{00000000-0005-0000-0000-000016060000}"/>
    <cellStyle name="Comma 6 38" xfId="1560" xr:uid="{00000000-0005-0000-0000-000017060000}"/>
    <cellStyle name="Comma 6 39" xfId="1561" xr:uid="{00000000-0005-0000-0000-000018060000}"/>
    <cellStyle name="Comma 6 4" xfId="1562" xr:uid="{00000000-0005-0000-0000-000019060000}"/>
    <cellStyle name="Comma 6 40" xfId="1563" xr:uid="{00000000-0005-0000-0000-00001A060000}"/>
    <cellStyle name="Comma 6 41" xfId="1564" xr:uid="{00000000-0005-0000-0000-00001B060000}"/>
    <cellStyle name="Comma 6 42" xfId="1565" xr:uid="{00000000-0005-0000-0000-00001C060000}"/>
    <cellStyle name="Comma 6 43" xfId="1566" xr:uid="{00000000-0005-0000-0000-00001D060000}"/>
    <cellStyle name="Comma 6 44" xfId="1567" xr:uid="{00000000-0005-0000-0000-00001E060000}"/>
    <cellStyle name="Comma 6 45" xfId="1568" xr:uid="{00000000-0005-0000-0000-00001F060000}"/>
    <cellStyle name="Comma 6 46" xfId="1569" xr:uid="{00000000-0005-0000-0000-000020060000}"/>
    <cellStyle name="Comma 6 47" xfId="1570" xr:uid="{00000000-0005-0000-0000-000021060000}"/>
    <cellStyle name="Comma 6 5" xfId="1571" xr:uid="{00000000-0005-0000-0000-000022060000}"/>
    <cellStyle name="Comma 6 6" xfId="1572" xr:uid="{00000000-0005-0000-0000-000023060000}"/>
    <cellStyle name="Comma 6 7" xfId="1573" xr:uid="{00000000-0005-0000-0000-000024060000}"/>
    <cellStyle name="Comma 6 8" xfId="1574" xr:uid="{00000000-0005-0000-0000-000025060000}"/>
    <cellStyle name="Comma 6 9" xfId="1575" xr:uid="{00000000-0005-0000-0000-000026060000}"/>
    <cellStyle name="Comma 6_PM T9 -revised Q3 1.0.xls-adjust G11+FSJ" xfId="1576" xr:uid="{00000000-0005-0000-0000-000027060000}"/>
    <cellStyle name="Comma 60" xfId="1577" xr:uid="{00000000-0005-0000-0000-000028060000}"/>
    <cellStyle name="Comma 61" xfId="1578" xr:uid="{00000000-0005-0000-0000-000029060000}"/>
    <cellStyle name="Comma 62" xfId="1579" xr:uid="{00000000-0005-0000-0000-00002A060000}"/>
    <cellStyle name="Comma 7" xfId="1580" xr:uid="{00000000-0005-0000-0000-00002B060000}"/>
    <cellStyle name="Comma 7 2" xfId="1581" xr:uid="{00000000-0005-0000-0000-00002C060000}"/>
    <cellStyle name="Comma 7 3" xfId="1582" xr:uid="{00000000-0005-0000-0000-00002D060000}"/>
    <cellStyle name="Comma 7 4" xfId="1583" xr:uid="{00000000-0005-0000-0000-00002E060000}"/>
    <cellStyle name="Comma 7 5" xfId="1584" xr:uid="{00000000-0005-0000-0000-00002F060000}"/>
    <cellStyle name="Comma 7 6" xfId="1585" xr:uid="{00000000-0005-0000-0000-000030060000}"/>
    <cellStyle name="Comma 8" xfId="1586" xr:uid="{00000000-0005-0000-0000-000031060000}"/>
    <cellStyle name="Comma 8 2" xfId="1587" xr:uid="{00000000-0005-0000-0000-000032060000}"/>
    <cellStyle name="Comma 8 3" xfId="1588" xr:uid="{00000000-0005-0000-0000-000033060000}"/>
    <cellStyle name="Comma 8 4" xfId="1589" xr:uid="{00000000-0005-0000-0000-000034060000}"/>
    <cellStyle name="Comma 8 5" xfId="1590" xr:uid="{00000000-0005-0000-0000-000035060000}"/>
    <cellStyle name="Comma 9" xfId="1591" xr:uid="{00000000-0005-0000-0000-000036060000}"/>
    <cellStyle name="Comma 9 2" xfId="1592" xr:uid="{00000000-0005-0000-0000-000037060000}"/>
    <cellStyle name="Comma 9 3" xfId="1593" xr:uid="{00000000-0005-0000-0000-000038060000}"/>
    <cellStyle name="comma zerodec" xfId="1594" xr:uid="{00000000-0005-0000-0000-000039060000}"/>
    <cellStyle name="Comma0" xfId="1595" xr:uid="{00000000-0005-0000-0000-00003A060000}"/>
    <cellStyle name="Copied" xfId="1596" xr:uid="{00000000-0005-0000-0000-00003B060000}"/>
    <cellStyle name="Currency 10" xfId="1597" xr:uid="{00000000-0005-0000-0000-00003C060000}"/>
    <cellStyle name="Currency 2" xfId="1598" xr:uid="{00000000-0005-0000-0000-00003D060000}"/>
    <cellStyle name="Currency 2 10" xfId="1599" xr:uid="{00000000-0005-0000-0000-00003E060000}"/>
    <cellStyle name="Currency 2 2" xfId="1600" xr:uid="{00000000-0005-0000-0000-00003F060000}"/>
    <cellStyle name="Currency 2 3" xfId="1601" xr:uid="{00000000-0005-0000-0000-000040060000}"/>
    <cellStyle name="Currency 2 4" xfId="1602" xr:uid="{00000000-0005-0000-0000-000041060000}"/>
    <cellStyle name="Currency 2 5" xfId="1603" xr:uid="{00000000-0005-0000-0000-000042060000}"/>
    <cellStyle name="Currency 2 6" xfId="1604" xr:uid="{00000000-0005-0000-0000-000043060000}"/>
    <cellStyle name="Currency 2 7" xfId="1605" xr:uid="{00000000-0005-0000-0000-000044060000}"/>
    <cellStyle name="Currency 2 8" xfId="1606" xr:uid="{00000000-0005-0000-0000-000045060000}"/>
    <cellStyle name="Currency 2 9" xfId="1607" xr:uid="{00000000-0005-0000-0000-000046060000}"/>
    <cellStyle name="Currency 3" xfId="1608" xr:uid="{00000000-0005-0000-0000-000047060000}"/>
    <cellStyle name="Currency0" xfId="1609" xr:uid="{00000000-0005-0000-0000-000048060000}"/>
    <cellStyle name="Currency1" xfId="1610" xr:uid="{00000000-0005-0000-0000-000049060000}"/>
    <cellStyle name="d_yield" xfId="1611" xr:uid="{00000000-0005-0000-0000-00004A060000}"/>
    <cellStyle name="d_yield_Sheet1" xfId="1612" xr:uid="{00000000-0005-0000-0000-00004B060000}"/>
    <cellStyle name="Dan" xfId="1613" xr:uid="{00000000-0005-0000-0000-00004C060000}"/>
    <cellStyle name="Date" xfId="1614" xr:uid="{00000000-0005-0000-0000-00004D060000}"/>
    <cellStyle name="Dollar (zero dec)" xfId="1615" xr:uid="{00000000-0005-0000-0000-00004E060000}"/>
    <cellStyle name="Dziesi?tny [0]_Invoices2001Slovakia" xfId="1616" xr:uid="{00000000-0005-0000-0000-00004F060000}"/>
    <cellStyle name="Dziesi?tny_Invoices2001Slovakia" xfId="1617" xr:uid="{00000000-0005-0000-0000-000050060000}"/>
    <cellStyle name="Dziesietny [0]_Invoices2001Slovakia" xfId="1618" xr:uid="{00000000-0005-0000-0000-000051060000}"/>
    <cellStyle name="Dziesiętny [0]_Invoices2001Slovakia" xfId="1619" xr:uid="{00000000-0005-0000-0000-000052060000}"/>
    <cellStyle name="Dziesietny [0]_Invoices2001Slovakia_Book1" xfId="1620" xr:uid="{00000000-0005-0000-0000-000053060000}"/>
    <cellStyle name="Dziesiętny [0]_Invoices2001Slovakia_Book1" xfId="1621" xr:uid="{00000000-0005-0000-0000-000054060000}"/>
    <cellStyle name="Dziesietny [0]_Invoices2001Slovakia_Book1_Tong hop Cac tuyen(9-1-06)" xfId="1622" xr:uid="{00000000-0005-0000-0000-000055060000}"/>
    <cellStyle name="Dziesiętny [0]_Invoices2001Slovakia_Book1_Tong hop Cac tuyen(9-1-06)" xfId="1623" xr:uid="{00000000-0005-0000-0000-000056060000}"/>
    <cellStyle name="Dziesietny [0]_Invoices2001Slovakia_KL K.C mat duong" xfId="1624" xr:uid="{00000000-0005-0000-0000-000057060000}"/>
    <cellStyle name="Dziesiętny [0]_Invoices2001Slovakia_Nhalamviec VTC(25-1-05)" xfId="1625" xr:uid="{00000000-0005-0000-0000-000058060000}"/>
    <cellStyle name="Dziesietny [0]_Invoices2001Slovakia_TDT KHANH HOA" xfId="1626" xr:uid="{00000000-0005-0000-0000-000059060000}"/>
    <cellStyle name="Dziesiętny [0]_Invoices2001Slovakia_TDT KHANH HOA" xfId="1627" xr:uid="{00000000-0005-0000-0000-00005A060000}"/>
    <cellStyle name="Dziesietny [0]_Invoices2001Slovakia_TDT KHANH HOA_Tong hop Cac tuyen(9-1-06)" xfId="1628" xr:uid="{00000000-0005-0000-0000-00005B060000}"/>
    <cellStyle name="Dziesiętny [0]_Invoices2001Slovakia_TDT KHANH HOA_Tong hop Cac tuyen(9-1-06)" xfId="1629" xr:uid="{00000000-0005-0000-0000-00005C060000}"/>
    <cellStyle name="Dziesietny [0]_Invoices2001Slovakia_TDT quangngai" xfId="1630" xr:uid="{00000000-0005-0000-0000-00005D060000}"/>
    <cellStyle name="Dziesiętny [0]_Invoices2001Slovakia_TDT quangngai" xfId="1631" xr:uid="{00000000-0005-0000-0000-00005E060000}"/>
    <cellStyle name="Dziesietny [0]_Invoices2001Slovakia_Tong hop Cac tuyen(9-1-06)" xfId="1632" xr:uid="{00000000-0005-0000-0000-00005F060000}"/>
    <cellStyle name="Dziesietny_Invoices2001Slovakia" xfId="1633" xr:uid="{00000000-0005-0000-0000-000060060000}"/>
    <cellStyle name="Dziesiętny_Invoices2001Slovakia" xfId="1634" xr:uid="{00000000-0005-0000-0000-000061060000}"/>
    <cellStyle name="Dziesietny_Invoices2001Slovakia_Book1" xfId="1635" xr:uid="{00000000-0005-0000-0000-000062060000}"/>
    <cellStyle name="Dziesiętny_Invoices2001Slovakia_Book1" xfId="1636" xr:uid="{00000000-0005-0000-0000-000063060000}"/>
    <cellStyle name="Dziesietny_Invoices2001Slovakia_Book1_Tong hop Cac tuyen(9-1-06)" xfId="1637" xr:uid="{00000000-0005-0000-0000-000064060000}"/>
    <cellStyle name="Dziesiętny_Invoices2001Slovakia_Book1_Tong hop Cac tuyen(9-1-06)" xfId="1638" xr:uid="{00000000-0005-0000-0000-000065060000}"/>
    <cellStyle name="Dziesietny_Invoices2001Slovakia_KL K.C mat duong" xfId="1639" xr:uid="{00000000-0005-0000-0000-000066060000}"/>
    <cellStyle name="Dziesiętny_Invoices2001Slovakia_Nhalamviec VTC(25-1-05)" xfId="1640" xr:uid="{00000000-0005-0000-0000-000067060000}"/>
    <cellStyle name="Dziesietny_Invoices2001Slovakia_TDT KHANH HOA" xfId="1641" xr:uid="{00000000-0005-0000-0000-000068060000}"/>
    <cellStyle name="Dziesiętny_Invoices2001Slovakia_TDT KHANH HOA" xfId="1642" xr:uid="{00000000-0005-0000-0000-000069060000}"/>
    <cellStyle name="Dziesietny_Invoices2001Slovakia_TDT KHANH HOA_Tong hop Cac tuyen(9-1-06)" xfId="1643" xr:uid="{00000000-0005-0000-0000-00006A060000}"/>
    <cellStyle name="Dziesiętny_Invoices2001Slovakia_TDT KHANH HOA_Tong hop Cac tuyen(9-1-06)" xfId="1644" xr:uid="{00000000-0005-0000-0000-00006B060000}"/>
    <cellStyle name="Dziesietny_Invoices2001Slovakia_TDT quangngai" xfId="1645" xr:uid="{00000000-0005-0000-0000-00006C060000}"/>
    <cellStyle name="Dziesiętny_Invoices2001Slovakia_TDT quangngai" xfId="1646" xr:uid="{00000000-0005-0000-0000-00006D060000}"/>
    <cellStyle name="Dziesietny_Invoices2001Slovakia_Tong hop Cac tuyen(9-1-06)" xfId="1647" xr:uid="{00000000-0005-0000-0000-00006E060000}"/>
    <cellStyle name="Entered" xfId="1648" xr:uid="{00000000-0005-0000-0000-00006F060000}"/>
    <cellStyle name="eps" xfId="1649" xr:uid="{00000000-0005-0000-0000-000070060000}"/>
    <cellStyle name="eps$" xfId="1650" xr:uid="{00000000-0005-0000-0000-000071060000}"/>
    <cellStyle name="eps$A" xfId="1651" xr:uid="{00000000-0005-0000-0000-000072060000}"/>
    <cellStyle name="eps$E" xfId="1652" xr:uid="{00000000-0005-0000-0000-000073060000}"/>
    <cellStyle name="epsA" xfId="1653" xr:uid="{00000000-0005-0000-0000-000074060000}"/>
    <cellStyle name="epsE" xfId="1654" xr:uid="{00000000-0005-0000-0000-000075060000}"/>
    <cellStyle name="Explanatory Text 10" xfId="1655" xr:uid="{00000000-0005-0000-0000-000076060000}"/>
    <cellStyle name="Explanatory Text 11" xfId="1656" xr:uid="{00000000-0005-0000-0000-000077060000}"/>
    <cellStyle name="Explanatory Text 12" xfId="1657" xr:uid="{00000000-0005-0000-0000-000078060000}"/>
    <cellStyle name="Explanatory Text 13" xfId="1658" xr:uid="{00000000-0005-0000-0000-000079060000}"/>
    <cellStyle name="Explanatory Text 2" xfId="1659" xr:uid="{00000000-0005-0000-0000-00007A060000}"/>
    <cellStyle name="Explanatory Text 2 2" xfId="1660" xr:uid="{00000000-0005-0000-0000-00007B060000}"/>
    <cellStyle name="Explanatory Text 2 3" xfId="1661" xr:uid="{00000000-0005-0000-0000-00007C060000}"/>
    <cellStyle name="Explanatory Text 3" xfId="1662" xr:uid="{00000000-0005-0000-0000-00007D060000}"/>
    <cellStyle name="Explanatory Text 4" xfId="1663" xr:uid="{00000000-0005-0000-0000-00007E060000}"/>
    <cellStyle name="Explanatory Text 5" xfId="1664" xr:uid="{00000000-0005-0000-0000-00007F060000}"/>
    <cellStyle name="Explanatory Text 6" xfId="1665" xr:uid="{00000000-0005-0000-0000-000080060000}"/>
    <cellStyle name="Explanatory Text 7" xfId="1666" xr:uid="{00000000-0005-0000-0000-000081060000}"/>
    <cellStyle name="Explanatory Text 8" xfId="1667" xr:uid="{00000000-0005-0000-0000-000082060000}"/>
    <cellStyle name="Explanatory Text 9" xfId="1668" xr:uid="{00000000-0005-0000-0000-000083060000}"/>
    <cellStyle name="Fixed" xfId="1669" xr:uid="{00000000-0005-0000-0000-000084060000}"/>
    <cellStyle name="fy_eps$" xfId="1670" xr:uid="{00000000-0005-0000-0000-000085060000}"/>
    <cellStyle name="g_rate" xfId="1671" xr:uid="{00000000-0005-0000-0000-000086060000}"/>
    <cellStyle name="g_rate_Sheet1" xfId="1672" xr:uid="{00000000-0005-0000-0000-000087060000}"/>
    <cellStyle name="Good 10" xfId="1673" xr:uid="{00000000-0005-0000-0000-000088060000}"/>
    <cellStyle name="Good 11" xfId="1674" xr:uid="{00000000-0005-0000-0000-000089060000}"/>
    <cellStyle name="Good 12" xfId="1675" xr:uid="{00000000-0005-0000-0000-00008A060000}"/>
    <cellStyle name="Good 13" xfId="1676" xr:uid="{00000000-0005-0000-0000-00008B060000}"/>
    <cellStyle name="Good 2" xfId="1677" xr:uid="{00000000-0005-0000-0000-00008C060000}"/>
    <cellStyle name="Good 2 2" xfId="1678" xr:uid="{00000000-0005-0000-0000-00008D060000}"/>
    <cellStyle name="Good 2 3" xfId="1679" xr:uid="{00000000-0005-0000-0000-00008E060000}"/>
    <cellStyle name="Good 3" xfId="1680" xr:uid="{00000000-0005-0000-0000-00008F060000}"/>
    <cellStyle name="Good 4" xfId="1681" xr:uid="{00000000-0005-0000-0000-000090060000}"/>
    <cellStyle name="Good 5" xfId="1682" xr:uid="{00000000-0005-0000-0000-000091060000}"/>
    <cellStyle name="Good 6" xfId="1683" xr:uid="{00000000-0005-0000-0000-000092060000}"/>
    <cellStyle name="Good 7" xfId="1684" xr:uid="{00000000-0005-0000-0000-000093060000}"/>
    <cellStyle name="Good 8" xfId="1685" xr:uid="{00000000-0005-0000-0000-000094060000}"/>
    <cellStyle name="Good 9" xfId="1686" xr:uid="{00000000-0005-0000-0000-000095060000}"/>
    <cellStyle name="Grey" xfId="1687" xr:uid="{00000000-0005-0000-0000-000096060000}"/>
    <cellStyle name="HEADER" xfId="1688" xr:uid="{00000000-0005-0000-0000-000097060000}"/>
    <cellStyle name="Header1" xfId="1689" xr:uid="{00000000-0005-0000-0000-000098060000}"/>
    <cellStyle name="Header2" xfId="1690" xr:uid="{00000000-0005-0000-0000-000099060000}"/>
    <cellStyle name="Heading" xfId="1691" xr:uid="{00000000-0005-0000-0000-00009A060000}"/>
    <cellStyle name="Heading 1 10" xfId="1692" xr:uid="{00000000-0005-0000-0000-00009B060000}"/>
    <cellStyle name="Heading 1 11" xfId="1693" xr:uid="{00000000-0005-0000-0000-00009C060000}"/>
    <cellStyle name="Heading 1 12" xfId="1694" xr:uid="{00000000-0005-0000-0000-00009D060000}"/>
    <cellStyle name="Heading 1 13" xfId="1695" xr:uid="{00000000-0005-0000-0000-00009E060000}"/>
    <cellStyle name="Heading 1 2" xfId="1696" xr:uid="{00000000-0005-0000-0000-00009F060000}"/>
    <cellStyle name="Heading 1 2 2" xfId="1697" xr:uid="{00000000-0005-0000-0000-0000A0060000}"/>
    <cellStyle name="Heading 1 2 3" xfId="1698" xr:uid="{00000000-0005-0000-0000-0000A1060000}"/>
    <cellStyle name="Heading 1 3" xfId="1699" xr:uid="{00000000-0005-0000-0000-0000A2060000}"/>
    <cellStyle name="Heading 1 4" xfId="1700" xr:uid="{00000000-0005-0000-0000-0000A3060000}"/>
    <cellStyle name="Heading 1 5" xfId="1701" xr:uid="{00000000-0005-0000-0000-0000A4060000}"/>
    <cellStyle name="Heading 1 6" xfId="1702" xr:uid="{00000000-0005-0000-0000-0000A5060000}"/>
    <cellStyle name="Heading 1 7" xfId="1703" xr:uid="{00000000-0005-0000-0000-0000A6060000}"/>
    <cellStyle name="Heading 1 8" xfId="1704" xr:uid="{00000000-0005-0000-0000-0000A7060000}"/>
    <cellStyle name="Heading 1 9" xfId="1705" xr:uid="{00000000-0005-0000-0000-0000A8060000}"/>
    <cellStyle name="Heading 2 10" xfId="1706" xr:uid="{00000000-0005-0000-0000-0000A9060000}"/>
    <cellStyle name="Heading 2 11" xfId="1707" xr:uid="{00000000-0005-0000-0000-0000AA060000}"/>
    <cellStyle name="Heading 2 12" xfId="1708" xr:uid="{00000000-0005-0000-0000-0000AB060000}"/>
    <cellStyle name="Heading 2 13" xfId="1709" xr:uid="{00000000-0005-0000-0000-0000AC060000}"/>
    <cellStyle name="Heading 2 2" xfId="1710" xr:uid="{00000000-0005-0000-0000-0000AD060000}"/>
    <cellStyle name="Heading 2 2 2" xfId="1711" xr:uid="{00000000-0005-0000-0000-0000AE060000}"/>
    <cellStyle name="Heading 2 2 3" xfId="1712" xr:uid="{00000000-0005-0000-0000-0000AF060000}"/>
    <cellStyle name="Heading 2 3" xfId="1713" xr:uid="{00000000-0005-0000-0000-0000B0060000}"/>
    <cellStyle name="Heading 2 4" xfId="1714" xr:uid="{00000000-0005-0000-0000-0000B1060000}"/>
    <cellStyle name="Heading 2 5" xfId="1715" xr:uid="{00000000-0005-0000-0000-0000B2060000}"/>
    <cellStyle name="Heading 2 6" xfId="1716" xr:uid="{00000000-0005-0000-0000-0000B3060000}"/>
    <cellStyle name="Heading 2 7" xfId="1717" xr:uid="{00000000-0005-0000-0000-0000B4060000}"/>
    <cellStyle name="Heading 2 8" xfId="1718" xr:uid="{00000000-0005-0000-0000-0000B5060000}"/>
    <cellStyle name="Heading 2 9" xfId="1719" xr:uid="{00000000-0005-0000-0000-0000B6060000}"/>
    <cellStyle name="Heading 3 10" xfId="1720" xr:uid="{00000000-0005-0000-0000-0000B7060000}"/>
    <cellStyle name="Heading 3 11" xfId="1721" xr:uid="{00000000-0005-0000-0000-0000B8060000}"/>
    <cellStyle name="Heading 3 12" xfId="1722" xr:uid="{00000000-0005-0000-0000-0000B9060000}"/>
    <cellStyle name="Heading 3 13" xfId="1723" xr:uid="{00000000-0005-0000-0000-0000BA060000}"/>
    <cellStyle name="Heading 3 2" xfId="1724" xr:uid="{00000000-0005-0000-0000-0000BB060000}"/>
    <cellStyle name="Heading 3 2 2" xfId="1725" xr:uid="{00000000-0005-0000-0000-0000BC060000}"/>
    <cellStyle name="Heading 3 2 3" xfId="1726" xr:uid="{00000000-0005-0000-0000-0000BD060000}"/>
    <cellStyle name="Heading 3 3" xfId="1727" xr:uid="{00000000-0005-0000-0000-0000BE060000}"/>
    <cellStyle name="Heading 3 4" xfId="1728" xr:uid="{00000000-0005-0000-0000-0000BF060000}"/>
    <cellStyle name="Heading 3 5" xfId="1729" xr:uid="{00000000-0005-0000-0000-0000C0060000}"/>
    <cellStyle name="Heading 3 6" xfId="1730" xr:uid="{00000000-0005-0000-0000-0000C1060000}"/>
    <cellStyle name="Heading 3 7" xfId="1731" xr:uid="{00000000-0005-0000-0000-0000C2060000}"/>
    <cellStyle name="Heading 3 8" xfId="1732" xr:uid="{00000000-0005-0000-0000-0000C3060000}"/>
    <cellStyle name="Heading 3 9" xfId="1733" xr:uid="{00000000-0005-0000-0000-0000C4060000}"/>
    <cellStyle name="Heading 4 10" xfId="1734" xr:uid="{00000000-0005-0000-0000-0000C5060000}"/>
    <cellStyle name="Heading 4 11" xfId="1735" xr:uid="{00000000-0005-0000-0000-0000C6060000}"/>
    <cellStyle name="Heading 4 12" xfId="1736" xr:uid="{00000000-0005-0000-0000-0000C7060000}"/>
    <cellStyle name="Heading 4 13" xfId="1737" xr:uid="{00000000-0005-0000-0000-0000C8060000}"/>
    <cellStyle name="Heading 4 2" xfId="1738" xr:uid="{00000000-0005-0000-0000-0000C9060000}"/>
    <cellStyle name="Heading 4 2 2" xfId="1739" xr:uid="{00000000-0005-0000-0000-0000CA060000}"/>
    <cellStyle name="Heading 4 2 3" xfId="1740" xr:uid="{00000000-0005-0000-0000-0000CB060000}"/>
    <cellStyle name="Heading 4 3" xfId="1741" xr:uid="{00000000-0005-0000-0000-0000CC060000}"/>
    <cellStyle name="Heading 4 4" xfId="1742" xr:uid="{00000000-0005-0000-0000-0000CD060000}"/>
    <cellStyle name="Heading 4 5" xfId="1743" xr:uid="{00000000-0005-0000-0000-0000CE060000}"/>
    <cellStyle name="Heading 4 6" xfId="1744" xr:uid="{00000000-0005-0000-0000-0000CF060000}"/>
    <cellStyle name="Heading 4 7" xfId="1745" xr:uid="{00000000-0005-0000-0000-0000D0060000}"/>
    <cellStyle name="Heading 4 8" xfId="1746" xr:uid="{00000000-0005-0000-0000-0000D1060000}"/>
    <cellStyle name="Heading 4 9" xfId="1747" xr:uid="{00000000-0005-0000-0000-0000D2060000}"/>
    <cellStyle name="HEADING1" xfId="1748" xr:uid="{00000000-0005-0000-0000-0000D3060000}"/>
    <cellStyle name="HEADING2" xfId="1749" xr:uid="{00000000-0005-0000-0000-0000D4060000}"/>
    <cellStyle name="headoption" xfId="1750" xr:uid="{00000000-0005-0000-0000-0000D5060000}"/>
    <cellStyle name="Hoa-Scholl" xfId="1751" xr:uid="{00000000-0005-0000-0000-0000D6060000}"/>
    <cellStyle name="Hyperlink 2" xfId="1752" xr:uid="{00000000-0005-0000-0000-0000D7060000}"/>
    <cellStyle name="Hyperlink 3" xfId="1753" xr:uid="{00000000-0005-0000-0000-0000D8060000}"/>
    <cellStyle name="IBM(401K)" xfId="1754" xr:uid="{00000000-0005-0000-0000-0000D9060000}"/>
    <cellStyle name="Indent" xfId="1755" xr:uid="{00000000-0005-0000-0000-0000DA060000}"/>
    <cellStyle name="Input [yellow]" xfId="1756" xr:uid="{00000000-0005-0000-0000-0000DB060000}"/>
    <cellStyle name="Input 10" xfId="1757" xr:uid="{00000000-0005-0000-0000-0000DC060000}"/>
    <cellStyle name="Input 11" xfId="1758" xr:uid="{00000000-0005-0000-0000-0000DD060000}"/>
    <cellStyle name="Input 12" xfId="1759" xr:uid="{00000000-0005-0000-0000-0000DE060000}"/>
    <cellStyle name="Input 13" xfId="1760" xr:uid="{00000000-0005-0000-0000-0000DF060000}"/>
    <cellStyle name="Input 2" xfId="1761" xr:uid="{00000000-0005-0000-0000-0000E0060000}"/>
    <cellStyle name="Input 2 2" xfId="1762" xr:uid="{00000000-0005-0000-0000-0000E1060000}"/>
    <cellStyle name="Input 2 3" xfId="1763" xr:uid="{00000000-0005-0000-0000-0000E2060000}"/>
    <cellStyle name="Input 3" xfId="1764" xr:uid="{00000000-0005-0000-0000-0000E3060000}"/>
    <cellStyle name="Input 4" xfId="1765" xr:uid="{00000000-0005-0000-0000-0000E4060000}"/>
    <cellStyle name="Input 5" xfId="1766" xr:uid="{00000000-0005-0000-0000-0000E5060000}"/>
    <cellStyle name="Input 6" xfId="1767" xr:uid="{00000000-0005-0000-0000-0000E6060000}"/>
    <cellStyle name="Input 7" xfId="1768" xr:uid="{00000000-0005-0000-0000-0000E7060000}"/>
    <cellStyle name="Input 8" xfId="1769" xr:uid="{00000000-0005-0000-0000-0000E8060000}"/>
    <cellStyle name="Input 9" xfId="1770" xr:uid="{00000000-0005-0000-0000-0000E9060000}"/>
    <cellStyle name="J401K" xfId="1771" xr:uid="{00000000-0005-0000-0000-0000EA060000}"/>
    <cellStyle name="khanh" xfId="1772" xr:uid="{00000000-0005-0000-0000-0000EB060000}"/>
    <cellStyle name="Ledger 17 x 11 in" xfId="1773" xr:uid="{00000000-0005-0000-0000-0000EC060000}"/>
    <cellStyle name="Ledger 17 x 11 in 2" xfId="1774" xr:uid="{00000000-0005-0000-0000-0000ED060000}"/>
    <cellStyle name="Ledger 17 x 11 in_So du cong no FSO Q3-08" xfId="1775" xr:uid="{00000000-0005-0000-0000-0000EE060000}"/>
    <cellStyle name="Linked Cell 10" xfId="1776" xr:uid="{00000000-0005-0000-0000-0000EF060000}"/>
    <cellStyle name="Linked Cell 11" xfId="1777" xr:uid="{00000000-0005-0000-0000-0000F0060000}"/>
    <cellStyle name="Linked Cell 12" xfId="1778" xr:uid="{00000000-0005-0000-0000-0000F1060000}"/>
    <cellStyle name="Linked Cell 13" xfId="1779" xr:uid="{00000000-0005-0000-0000-0000F2060000}"/>
    <cellStyle name="Linked Cell 2" xfId="1780" xr:uid="{00000000-0005-0000-0000-0000F3060000}"/>
    <cellStyle name="Linked Cell 2 2" xfId="1781" xr:uid="{00000000-0005-0000-0000-0000F4060000}"/>
    <cellStyle name="Linked Cell 2 3" xfId="1782" xr:uid="{00000000-0005-0000-0000-0000F5060000}"/>
    <cellStyle name="Linked Cell 3" xfId="1783" xr:uid="{00000000-0005-0000-0000-0000F6060000}"/>
    <cellStyle name="Linked Cell 4" xfId="1784" xr:uid="{00000000-0005-0000-0000-0000F7060000}"/>
    <cellStyle name="Linked Cell 5" xfId="1785" xr:uid="{00000000-0005-0000-0000-0000F8060000}"/>
    <cellStyle name="Linked Cell 6" xfId="1786" xr:uid="{00000000-0005-0000-0000-0000F9060000}"/>
    <cellStyle name="Linked Cell 7" xfId="1787" xr:uid="{00000000-0005-0000-0000-0000FA060000}"/>
    <cellStyle name="Linked Cell 8" xfId="1788" xr:uid="{00000000-0005-0000-0000-0000FB060000}"/>
    <cellStyle name="Linked Cell 9" xfId="1789" xr:uid="{00000000-0005-0000-0000-0000FC060000}"/>
    <cellStyle name="m" xfId="1790" xr:uid="{00000000-0005-0000-0000-0000FD060000}"/>
    <cellStyle name="m$" xfId="1791" xr:uid="{00000000-0005-0000-0000-0000FE060000}"/>
    <cellStyle name="Millares [0]_Well Timing" xfId="1792" xr:uid="{00000000-0005-0000-0000-0000FF060000}"/>
    <cellStyle name="Millares_Well Timing" xfId="1793" xr:uid="{00000000-0005-0000-0000-000000070000}"/>
    <cellStyle name="mm" xfId="1794" xr:uid="{00000000-0005-0000-0000-000001070000}"/>
    <cellStyle name="Model" xfId="1795" xr:uid="{00000000-0005-0000-0000-000002070000}"/>
    <cellStyle name="moi" xfId="1796" xr:uid="{00000000-0005-0000-0000-000003070000}"/>
    <cellStyle name="Moneda [0]_Well Timing" xfId="1797" xr:uid="{00000000-0005-0000-0000-000004070000}"/>
    <cellStyle name="Moneda_Well Timing" xfId="1798" xr:uid="{00000000-0005-0000-0000-000005070000}"/>
    <cellStyle name="Monétaire [0]_TARIFFS DB" xfId="1799" xr:uid="{00000000-0005-0000-0000-000006070000}"/>
    <cellStyle name="Monétaire_TARIFFS DB" xfId="1800" xr:uid="{00000000-0005-0000-0000-000007070000}"/>
    <cellStyle name="n" xfId="1801" xr:uid="{00000000-0005-0000-0000-000008070000}"/>
    <cellStyle name="Neutral 10" xfId="1802" xr:uid="{00000000-0005-0000-0000-000009070000}"/>
    <cellStyle name="Neutral 11" xfId="1803" xr:uid="{00000000-0005-0000-0000-00000A070000}"/>
    <cellStyle name="Neutral 12" xfId="1804" xr:uid="{00000000-0005-0000-0000-00000B070000}"/>
    <cellStyle name="Neutral 13" xfId="1805" xr:uid="{00000000-0005-0000-0000-00000C070000}"/>
    <cellStyle name="Neutral 2" xfId="1806" xr:uid="{00000000-0005-0000-0000-00000D070000}"/>
    <cellStyle name="Neutral 2 2" xfId="1807" xr:uid="{00000000-0005-0000-0000-00000E070000}"/>
    <cellStyle name="Neutral 2 3" xfId="1808" xr:uid="{00000000-0005-0000-0000-00000F070000}"/>
    <cellStyle name="Neutral 3" xfId="1809" xr:uid="{00000000-0005-0000-0000-000010070000}"/>
    <cellStyle name="Neutral 4" xfId="1810" xr:uid="{00000000-0005-0000-0000-000011070000}"/>
    <cellStyle name="Neutral 5" xfId="1811" xr:uid="{00000000-0005-0000-0000-000012070000}"/>
    <cellStyle name="Neutral 6" xfId="1812" xr:uid="{00000000-0005-0000-0000-000013070000}"/>
    <cellStyle name="Neutral 7" xfId="1813" xr:uid="{00000000-0005-0000-0000-000014070000}"/>
    <cellStyle name="Neutral 8" xfId="1814" xr:uid="{00000000-0005-0000-0000-000015070000}"/>
    <cellStyle name="Neutral 9" xfId="1815" xr:uid="{00000000-0005-0000-0000-000016070000}"/>
    <cellStyle name="New Times Roman" xfId="1816" xr:uid="{00000000-0005-0000-0000-000017070000}"/>
    <cellStyle name="no dec" xfId="1817" xr:uid="{00000000-0005-0000-0000-000018070000}"/>
    <cellStyle name="Normal" xfId="0" builtinId="0"/>
    <cellStyle name="Normal - Style1" xfId="1818" xr:uid="{00000000-0005-0000-0000-00001A070000}"/>
    <cellStyle name="Normal - Style1 2" xfId="1819" xr:uid="{00000000-0005-0000-0000-00001B070000}"/>
    <cellStyle name="Normal - Style1 3" xfId="1820" xr:uid="{00000000-0005-0000-0000-00001C070000}"/>
    <cellStyle name="Normal - Style1_Gui Ha" xfId="1821" xr:uid="{00000000-0005-0000-0000-00001D070000}"/>
    <cellStyle name="Normal 10" xfId="1822" xr:uid="{00000000-0005-0000-0000-00001E070000}"/>
    <cellStyle name="Normal 11" xfId="1823" xr:uid="{00000000-0005-0000-0000-00001F070000}"/>
    <cellStyle name="Normal 11 2" xfId="1824" xr:uid="{00000000-0005-0000-0000-000020070000}"/>
    <cellStyle name="Normal 12" xfId="1825" xr:uid="{00000000-0005-0000-0000-000021070000}"/>
    <cellStyle name="Normal 13" xfId="1826" xr:uid="{00000000-0005-0000-0000-000022070000}"/>
    <cellStyle name="Normal 14" xfId="1827" xr:uid="{00000000-0005-0000-0000-000023070000}"/>
    <cellStyle name="Normal 15" xfId="1828" xr:uid="{00000000-0005-0000-0000-000024070000}"/>
    <cellStyle name="Normal 16" xfId="1829" xr:uid="{00000000-0005-0000-0000-000025070000}"/>
    <cellStyle name="Normal 17" xfId="1830" xr:uid="{00000000-0005-0000-0000-000026070000}"/>
    <cellStyle name="Normal 18" xfId="1831" xr:uid="{00000000-0005-0000-0000-000027070000}"/>
    <cellStyle name="Normal 19" xfId="1832" xr:uid="{00000000-0005-0000-0000-000028070000}"/>
    <cellStyle name="Normal 2" xfId="1833" xr:uid="{00000000-0005-0000-0000-000029070000}"/>
    <cellStyle name="Normal 2 10" xfId="1834" xr:uid="{00000000-0005-0000-0000-00002A070000}"/>
    <cellStyle name="Normal 2 10 2" xfId="1835" xr:uid="{00000000-0005-0000-0000-00002B070000}"/>
    <cellStyle name="Normal 2 10 2 2" xfId="1836" xr:uid="{00000000-0005-0000-0000-00002C070000}"/>
    <cellStyle name="Normal 2 10 2 2 2" xfId="1837" xr:uid="{00000000-0005-0000-0000-00002D070000}"/>
    <cellStyle name="Normal 2 10 2 2 3" xfId="1838" xr:uid="{00000000-0005-0000-0000-00002E070000}"/>
    <cellStyle name="Normal 2 10 2 3" xfId="1839" xr:uid="{00000000-0005-0000-0000-00002F070000}"/>
    <cellStyle name="Normal 2 10 3" xfId="1840" xr:uid="{00000000-0005-0000-0000-000030070000}"/>
    <cellStyle name="Normal 2 10 4" xfId="1841" xr:uid="{00000000-0005-0000-0000-000031070000}"/>
    <cellStyle name="Normal 2 10_Fsoft Finance Report 0809 Template" xfId="1842" xr:uid="{00000000-0005-0000-0000-000032070000}"/>
    <cellStyle name="Normal 2 11" xfId="1843" xr:uid="{00000000-0005-0000-0000-000033070000}"/>
    <cellStyle name="Normal 2 11 2" xfId="1844" xr:uid="{00000000-0005-0000-0000-000034070000}"/>
    <cellStyle name="Normal 2 11 2 2" xfId="1845" xr:uid="{00000000-0005-0000-0000-000035070000}"/>
    <cellStyle name="Normal 2 11 2 2 2" xfId="1846" xr:uid="{00000000-0005-0000-0000-000036070000}"/>
    <cellStyle name="Normal 2 11 2 2 3" xfId="1847" xr:uid="{00000000-0005-0000-0000-000037070000}"/>
    <cellStyle name="Normal 2 11 2 3" xfId="1848" xr:uid="{00000000-0005-0000-0000-000038070000}"/>
    <cellStyle name="Normal 2 11 3" xfId="1849" xr:uid="{00000000-0005-0000-0000-000039070000}"/>
    <cellStyle name="Normal 2 11 4" xfId="1850" xr:uid="{00000000-0005-0000-0000-00003A070000}"/>
    <cellStyle name="Normal 2 11_Fsoft Finance Report 0809 Template" xfId="1851" xr:uid="{00000000-0005-0000-0000-00003B070000}"/>
    <cellStyle name="Normal 2 12" xfId="1852" xr:uid="{00000000-0005-0000-0000-00003C070000}"/>
    <cellStyle name="Normal 2 12 2" xfId="1853" xr:uid="{00000000-0005-0000-0000-00003D070000}"/>
    <cellStyle name="Normal 2 12 2 2" xfId="1854" xr:uid="{00000000-0005-0000-0000-00003E070000}"/>
    <cellStyle name="Normal 2 12 2 2 2" xfId="1855" xr:uid="{00000000-0005-0000-0000-00003F070000}"/>
    <cellStyle name="Normal 2 12 2 2 3" xfId="1856" xr:uid="{00000000-0005-0000-0000-000040070000}"/>
    <cellStyle name="Normal 2 12 2 3" xfId="1857" xr:uid="{00000000-0005-0000-0000-000041070000}"/>
    <cellStyle name="Normal 2 12 3" xfId="1858" xr:uid="{00000000-0005-0000-0000-000042070000}"/>
    <cellStyle name="Normal 2 12 4" xfId="1859" xr:uid="{00000000-0005-0000-0000-000043070000}"/>
    <cellStyle name="Normal 2 12_Fsoft Finance Report 0809 Template" xfId="1860" xr:uid="{00000000-0005-0000-0000-000044070000}"/>
    <cellStyle name="Normal 2 13" xfId="1861" xr:uid="{00000000-0005-0000-0000-000045070000}"/>
    <cellStyle name="Normal 2 13 2" xfId="1862" xr:uid="{00000000-0005-0000-0000-000046070000}"/>
    <cellStyle name="Normal 2 13 2 2" xfId="1863" xr:uid="{00000000-0005-0000-0000-000047070000}"/>
    <cellStyle name="Normal 2 13 2 2 2" xfId="1864" xr:uid="{00000000-0005-0000-0000-000048070000}"/>
    <cellStyle name="Normal 2 13 2 2 3" xfId="1865" xr:uid="{00000000-0005-0000-0000-000049070000}"/>
    <cellStyle name="Normal 2 13 2 3" xfId="1866" xr:uid="{00000000-0005-0000-0000-00004A070000}"/>
    <cellStyle name="Normal 2 13 3" xfId="1867" xr:uid="{00000000-0005-0000-0000-00004B070000}"/>
    <cellStyle name="Normal 2 13 4" xfId="1868" xr:uid="{00000000-0005-0000-0000-00004C070000}"/>
    <cellStyle name="Normal 2 13_Fsoft Finance Report 0809 Template" xfId="1869" xr:uid="{00000000-0005-0000-0000-00004D070000}"/>
    <cellStyle name="Normal 2 14" xfId="1870" xr:uid="{00000000-0005-0000-0000-00004E070000}"/>
    <cellStyle name="Normal 2 14 2" xfId="1871" xr:uid="{00000000-0005-0000-0000-00004F070000}"/>
    <cellStyle name="Normal 2 14 2 2" xfId="1872" xr:uid="{00000000-0005-0000-0000-000050070000}"/>
    <cellStyle name="Normal 2 14 2 2 2" xfId="1873" xr:uid="{00000000-0005-0000-0000-000051070000}"/>
    <cellStyle name="Normal 2 14 2 2 3" xfId="1874" xr:uid="{00000000-0005-0000-0000-000052070000}"/>
    <cellStyle name="Normal 2 14 2 3" xfId="1875" xr:uid="{00000000-0005-0000-0000-000053070000}"/>
    <cellStyle name="Normal 2 14 3" xfId="1876" xr:uid="{00000000-0005-0000-0000-000054070000}"/>
    <cellStyle name="Normal 2 14 4" xfId="1877" xr:uid="{00000000-0005-0000-0000-000055070000}"/>
    <cellStyle name="Normal 2 14_Fsoft Finance Report 0809 Template" xfId="1878" xr:uid="{00000000-0005-0000-0000-000056070000}"/>
    <cellStyle name="Normal 2 15" xfId="1879" xr:uid="{00000000-0005-0000-0000-000057070000}"/>
    <cellStyle name="Normal 2 15 2" xfId="1880" xr:uid="{00000000-0005-0000-0000-000058070000}"/>
    <cellStyle name="Normal 2 15 2 2" xfId="1881" xr:uid="{00000000-0005-0000-0000-000059070000}"/>
    <cellStyle name="Normal 2 15 2 2 2" xfId="1882" xr:uid="{00000000-0005-0000-0000-00005A070000}"/>
    <cellStyle name="Normal 2 15 2 2 3" xfId="1883" xr:uid="{00000000-0005-0000-0000-00005B070000}"/>
    <cellStyle name="Normal 2 15 2 3" xfId="1884" xr:uid="{00000000-0005-0000-0000-00005C070000}"/>
    <cellStyle name="Normal 2 15 3" xfId="1885" xr:uid="{00000000-0005-0000-0000-00005D070000}"/>
    <cellStyle name="Normal 2 15 4" xfId="1886" xr:uid="{00000000-0005-0000-0000-00005E070000}"/>
    <cellStyle name="Normal 2 15_Fsoft Finance Report 0809 Template" xfId="1887" xr:uid="{00000000-0005-0000-0000-00005F070000}"/>
    <cellStyle name="Normal 2 16" xfId="1888" xr:uid="{00000000-0005-0000-0000-000060070000}"/>
    <cellStyle name="Normal 2 16 2" xfId="1889" xr:uid="{00000000-0005-0000-0000-000061070000}"/>
    <cellStyle name="Normal 2 16 2 2" xfId="1890" xr:uid="{00000000-0005-0000-0000-000062070000}"/>
    <cellStyle name="Normal 2 16 2 2 2" xfId="1891" xr:uid="{00000000-0005-0000-0000-000063070000}"/>
    <cellStyle name="Normal 2 16 2 2 3" xfId="1892" xr:uid="{00000000-0005-0000-0000-000064070000}"/>
    <cellStyle name="Normal 2 16 2 3" xfId="1893" xr:uid="{00000000-0005-0000-0000-000065070000}"/>
    <cellStyle name="Normal 2 16 3" xfId="1894" xr:uid="{00000000-0005-0000-0000-000066070000}"/>
    <cellStyle name="Normal 2 16 4" xfId="1895" xr:uid="{00000000-0005-0000-0000-000067070000}"/>
    <cellStyle name="Normal 2 16_Fsoft Finance Report 0809 Template" xfId="1896" xr:uid="{00000000-0005-0000-0000-000068070000}"/>
    <cellStyle name="Normal 2 17" xfId="1897" xr:uid="{00000000-0005-0000-0000-000069070000}"/>
    <cellStyle name="Normal 2 17 2" xfId="1898" xr:uid="{00000000-0005-0000-0000-00006A070000}"/>
    <cellStyle name="Normal 2 17 2 2" xfId="1899" xr:uid="{00000000-0005-0000-0000-00006B070000}"/>
    <cellStyle name="Normal 2 17 2 2 2" xfId="1900" xr:uid="{00000000-0005-0000-0000-00006C070000}"/>
    <cellStyle name="Normal 2 17 2 2 3" xfId="1901" xr:uid="{00000000-0005-0000-0000-00006D070000}"/>
    <cellStyle name="Normal 2 17 2 3" xfId="1902" xr:uid="{00000000-0005-0000-0000-00006E070000}"/>
    <cellStyle name="Normal 2 17 3" xfId="1903" xr:uid="{00000000-0005-0000-0000-00006F070000}"/>
    <cellStyle name="Normal 2 17 4" xfId="1904" xr:uid="{00000000-0005-0000-0000-000070070000}"/>
    <cellStyle name="Normal 2 17_Fsoft Finance Report 0809 Template" xfId="1905" xr:uid="{00000000-0005-0000-0000-000071070000}"/>
    <cellStyle name="Normal 2 18" xfId="1906" xr:uid="{00000000-0005-0000-0000-000072070000}"/>
    <cellStyle name="Normal 2 18 2" xfId="1907" xr:uid="{00000000-0005-0000-0000-000073070000}"/>
    <cellStyle name="Normal 2 18 2 2" xfId="1908" xr:uid="{00000000-0005-0000-0000-000074070000}"/>
    <cellStyle name="Normal 2 18 2 2 2" xfId="1909" xr:uid="{00000000-0005-0000-0000-000075070000}"/>
    <cellStyle name="Normal 2 18 2 2 3" xfId="1910" xr:uid="{00000000-0005-0000-0000-000076070000}"/>
    <cellStyle name="Normal 2 18 2 3" xfId="1911" xr:uid="{00000000-0005-0000-0000-000077070000}"/>
    <cellStyle name="Normal 2 18 3" xfId="1912" xr:uid="{00000000-0005-0000-0000-000078070000}"/>
    <cellStyle name="Normal 2 18 4" xfId="1913" xr:uid="{00000000-0005-0000-0000-000079070000}"/>
    <cellStyle name="Normal 2 18_Fsoft Finance Report 0809 Template" xfId="1914" xr:uid="{00000000-0005-0000-0000-00007A070000}"/>
    <cellStyle name="Normal 2 19" xfId="1915" xr:uid="{00000000-0005-0000-0000-00007B070000}"/>
    <cellStyle name="Normal 2 19 2" xfId="1916" xr:uid="{00000000-0005-0000-0000-00007C070000}"/>
    <cellStyle name="Normal 2 19 2 2" xfId="1917" xr:uid="{00000000-0005-0000-0000-00007D070000}"/>
    <cellStyle name="Normal 2 19 2 2 2" xfId="1918" xr:uid="{00000000-0005-0000-0000-00007E070000}"/>
    <cellStyle name="Normal 2 19 2 2 3" xfId="1919" xr:uid="{00000000-0005-0000-0000-00007F070000}"/>
    <cellStyle name="Normal 2 19 2 3" xfId="1920" xr:uid="{00000000-0005-0000-0000-000080070000}"/>
    <cellStyle name="Normal 2 19 3" xfId="1921" xr:uid="{00000000-0005-0000-0000-000081070000}"/>
    <cellStyle name="Normal 2 19 4" xfId="1922" xr:uid="{00000000-0005-0000-0000-000082070000}"/>
    <cellStyle name="Normal 2 19_Fsoft Finance Report 0809 Template" xfId="1923" xr:uid="{00000000-0005-0000-0000-000083070000}"/>
    <cellStyle name="Normal 2 2" xfId="1924" xr:uid="{00000000-0005-0000-0000-000084070000}"/>
    <cellStyle name="Normal 2 2 10" xfId="1925" xr:uid="{00000000-0005-0000-0000-000085070000}"/>
    <cellStyle name="Normal 2 2 11" xfId="1926" xr:uid="{00000000-0005-0000-0000-000086070000}"/>
    <cellStyle name="Normal 2 2 12" xfId="1927" xr:uid="{00000000-0005-0000-0000-000087070000}"/>
    <cellStyle name="Normal 2 2 13" xfId="1928" xr:uid="{00000000-0005-0000-0000-000088070000}"/>
    <cellStyle name="Normal 2 2 14" xfId="1929" xr:uid="{00000000-0005-0000-0000-000089070000}"/>
    <cellStyle name="Normal 2 2 15" xfId="1930" xr:uid="{00000000-0005-0000-0000-00008A070000}"/>
    <cellStyle name="Normal 2 2 16" xfId="1931" xr:uid="{00000000-0005-0000-0000-00008B070000}"/>
    <cellStyle name="Normal 2 2 17" xfId="1932" xr:uid="{00000000-0005-0000-0000-00008C070000}"/>
    <cellStyle name="Normal 2 2 18" xfId="1933" xr:uid="{00000000-0005-0000-0000-00008D070000}"/>
    <cellStyle name="Normal 2 2 19" xfId="1934" xr:uid="{00000000-0005-0000-0000-00008E070000}"/>
    <cellStyle name="Normal 2 2 2" xfId="1935" xr:uid="{00000000-0005-0000-0000-00008F070000}"/>
    <cellStyle name="Normal 2 2 2 10" xfId="1936" xr:uid="{00000000-0005-0000-0000-000090070000}"/>
    <cellStyle name="Normal 2 2 2 11" xfId="1937" xr:uid="{00000000-0005-0000-0000-000091070000}"/>
    <cellStyle name="Normal 2 2 2 12" xfId="1938" xr:uid="{00000000-0005-0000-0000-000092070000}"/>
    <cellStyle name="Normal 2 2 2 13" xfId="1939" xr:uid="{00000000-0005-0000-0000-000093070000}"/>
    <cellStyle name="Normal 2 2 2 14" xfId="1940" xr:uid="{00000000-0005-0000-0000-000094070000}"/>
    <cellStyle name="Normal 2 2 2 15" xfId="1941" xr:uid="{00000000-0005-0000-0000-000095070000}"/>
    <cellStyle name="Normal 2 2 2 16" xfId="1942" xr:uid="{00000000-0005-0000-0000-000096070000}"/>
    <cellStyle name="Normal 2 2 2 17" xfId="1943" xr:uid="{00000000-0005-0000-0000-000097070000}"/>
    <cellStyle name="Normal 2 2 2 18" xfId="1944" xr:uid="{00000000-0005-0000-0000-000098070000}"/>
    <cellStyle name="Normal 2 2 2 19" xfId="1945" xr:uid="{00000000-0005-0000-0000-000099070000}"/>
    <cellStyle name="Normal 2 2 2 2" xfId="1946" xr:uid="{00000000-0005-0000-0000-00009A070000}"/>
    <cellStyle name="Normal 2 2 2 2 10" xfId="1947" xr:uid="{00000000-0005-0000-0000-00009B070000}"/>
    <cellStyle name="Normal 2 2 2 2 11" xfId="1948" xr:uid="{00000000-0005-0000-0000-00009C070000}"/>
    <cellStyle name="Normal 2 2 2 2 12" xfId="1949" xr:uid="{00000000-0005-0000-0000-00009D070000}"/>
    <cellStyle name="Normal 2 2 2 2 13" xfId="1950" xr:uid="{00000000-0005-0000-0000-00009E070000}"/>
    <cellStyle name="Normal 2 2 2 2 14" xfId="1951" xr:uid="{00000000-0005-0000-0000-00009F070000}"/>
    <cellStyle name="Normal 2 2 2 2 15" xfId="1952" xr:uid="{00000000-0005-0000-0000-0000A0070000}"/>
    <cellStyle name="Normal 2 2 2 2 16" xfId="1953" xr:uid="{00000000-0005-0000-0000-0000A1070000}"/>
    <cellStyle name="Normal 2 2 2 2 17" xfId="1954" xr:uid="{00000000-0005-0000-0000-0000A2070000}"/>
    <cellStyle name="Normal 2 2 2 2 18" xfId="1955" xr:uid="{00000000-0005-0000-0000-0000A3070000}"/>
    <cellStyle name="Normal 2 2 2 2 19" xfId="1956" xr:uid="{00000000-0005-0000-0000-0000A4070000}"/>
    <cellStyle name="Normal 2 2 2 2 2" xfId="1957" xr:uid="{00000000-0005-0000-0000-0000A5070000}"/>
    <cellStyle name="Normal 2 2 2 2 2 2" xfId="1958" xr:uid="{00000000-0005-0000-0000-0000A6070000}"/>
    <cellStyle name="Normal 2 2 2 2 2 2 2" xfId="1959" xr:uid="{00000000-0005-0000-0000-0000A7070000}"/>
    <cellStyle name="Normal 2 2 2 2 2 2 3" xfId="1960" xr:uid="{00000000-0005-0000-0000-0000A8070000}"/>
    <cellStyle name="Normal 2 2 2 2 2 2 4" xfId="1961" xr:uid="{00000000-0005-0000-0000-0000A9070000}"/>
    <cellStyle name="Normal 2 2 2 2 2 2 5" xfId="1962" xr:uid="{00000000-0005-0000-0000-0000AA070000}"/>
    <cellStyle name="Normal 2 2 2 2 2 2 6" xfId="1963" xr:uid="{00000000-0005-0000-0000-0000AB070000}"/>
    <cellStyle name="Normal 2 2 2 2 2 2 7" xfId="1964" xr:uid="{00000000-0005-0000-0000-0000AC070000}"/>
    <cellStyle name="Normal 2 2 2 2 2 2 8" xfId="1965" xr:uid="{00000000-0005-0000-0000-0000AD070000}"/>
    <cellStyle name="Normal 2 2 2 2 2 3" xfId="1966" xr:uid="{00000000-0005-0000-0000-0000AE070000}"/>
    <cellStyle name="Normal 2 2 2 2 2 4" xfId="1967" xr:uid="{00000000-0005-0000-0000-0000AF070000}"/>
    <cellStyle name="Normal 2 2 2 2 2 5" xfId="1968" xr:uid="{00000000-0005-0000-0000-0000B0070000}"/>
    <cellStyle name="Normal 2 2 2 2 2 6" xfId="1969" xr:uid="{00000000-0005-0000-0000-0000B1070000}"/>
    <cellStyle name="Normal 2 2 2 2 2 7" xfId="1970" xr:uid="{00000000-0005-0000-0000-0000B2070000}"/>
    <cellStyle name="Normal 2 2 2 2 2 8" xfId="1971" xr:uid="{00000000-0005-0000-0000-0000B3070000}"/>
    <cellStyle name="Normal 2 2 2 2 2_Fsoft Finance Report 0809 Template" xfId="1972" xr:uid="{00000000-0005-0000-0000-0000B4070000}"/>
    <cellStyle name="Normal 2 2 2 2 20" xfId="1973" xr:uid="{00000000-0005-0000-0000-0000B5070000}"/>
    <cellStyle name="Normal 2 2 2 2 21" xfId="1974" xr:uid="{00000000-0005-0000-0000-0000B6070000}"/>
    <cellStyle name="Normal 2 2 2 2 22" xfId="1975" xr:uid="{00000000-0005-0000-0000-0000B7070000}"/>
    <cellStyle name="Normal 2 2 2 2 23" xfId="1976" xr:uid="{00000000-0005-0000-0000-0000B8070000}"/>
    <cellStyle name="Normal 2 2 2 2 24" xfId="1977" xr:uid="{00000000-0005-0000-0000-0000B9070000}"/>
    <cellStyle name="Normal 2 2 2 2 25" xfId="1978" xr:uid="{00000000-0005-0000-0000-0000BA070000}"/>
    <cellStyle name="Normal 2 2 2 2 26" xfId="1979" xr:uid="{00000000-0005-0000-0000-0000BB070000}"/>
    <cellStyle name="Normal 2 2 2 2 27" xfId="1980" xr:uid="{00000000-0005-0000-0000-0000BC070000}"/>
    <cellStyle name="Normal 2 2 2 2 28" xfId="1981" xr:uid="{00000000-0005-0000-0000-0000BD070000}"/>
    <cellStyle name="Normal 2 2 2 2 29" xfId="1982" xr:uid="{00000000-0005-0000-0000-0000BE070000}"/>
    <cellStyle name="Normal 2 2 2 2 3" xfId="1983" xr:uid="{00000000-0005-0000-0000-0000BF070000}"/>
    <cellStyle name="Normal 2 2 2 2 30" xfId="1984" xr:uid="{00000000-0005-0000-0000-0000C0070000}"/>
    <cellStyle name="Normal 2 2 2 2 31" xfId="1985" xr:uid="{00000000-0005-0000-0000-0000C1070000}"/>
    <cellStyle name="Normal 2 2 2 2 32" xfId="1986" xr:uid="{00000000-0005-0000-0000-0000C2070000}"/>
    <cellStyle name="Normal 2 2 2 2 33" xfId="1987" xr:uid="{00000000-0005-0000-0000-0000C3070000}"/>
    <cellStyle name="Normal 2 2 2 2 34" xfId="1988" xr:uid="{00000000-0005-0000-0000-0000C4070000}"/>
    <cellStyle name="Normal 2 2 2 2 35" xfId="1989" xr:uid="{00000000-0005-0000-0000-0000C5070000}"/>
    <cellStyle name="Normal 2 2 2 2 36" xfId="1990" xr:uid="{00000000-0005-0000-0000-0000C6070000}"/>
    <cellStyle name="Normal 2 2 2 2 37" xfId="1991" xr:uid="{00000000-0005-0000-0000-0000C7070000}"/>
    <cellStyle name="Normal 2 2 2 2 38" xfId="1992" xr:uid="{00000000-0005-0000-0000-0000C8070000}"/>
    <cellStyle name="Normal 2 2 2 2 39" xfId="1993" xr:uid="{00000000-0005-0000-0000-0000C9070000}"/>
    <cellStyle name="Normal 2 2 2 2 4" xfId="1994" xr:uid="{00000000-0005-0000-0000-0000CA070000}"/>
    <cellStyle name="Normal 2 2 2 2 40" xfId="1995" xr:uid="{00000000-0005-0000-0000-0000CB070000}"/>
    <cellStyle name="Normal 2 2 2 2 41" xfId="1996" xr:uid="{00000000-0005-0000-0000-0000CC070000}"/>
    <cellStyle name="Normal 2 2 2 2 42" xfId="1997" xr:uid="{00000000-0005-0000-0000-0000CD070000}"/>
    <cellStyle name="Normal 2 2 2 2 43" xfId="1998" xr:uid="{00000000-0005-0000-0000-0000CE070000}"/>
    <cellStyle name="Normal 2 2 2 2 44" xfId="1999" xr:uid="{00000000-0005-0000-0000-0000CF070000}"/>
    <cellStyle name="Normal 2 2 2 2 45" xfId="2000" xr:uid="{00000000-0005-0000-0000-0000D0070000}"/>
    <cellStyle name="Normal 2 2 2 2 46" xfId="2001" xr:uid="{00000000-0005-0000-0000-0000D1070000}"/>
    <cellStyle name="Normal 2 2 2 2 47" xfId="2002" xr:uid="{00000000-0005-0000-0000-0000D2070000}"/>
    <cellStyle name="Normal 2 2 2 2 48" xfId="2003" xr:uid="{00000000-0005-0000-0000-0000D3070000}"/>
    <cellStyle name="Normal 2 2 2 2 5" xfId="2004" xr:uid="{00000000-0005-0000-0000-0000D4070000}"/>
    <cellStyle name="Normal 2 2 2 2 6" xfId="2005" xr:uid="{00000000-0005-0000-0000-0000D5070000}"/>
    <cellStyle name="Normal 2 2 2 2 7" xfId="2006" xr:uid="{00000000-0005-0000-0000-0000D6070000}"/>
    <cellStyle name="Normal 2 2 2 2 8" xfId="2007" xr:uid="{00000000-0005-0000-0000-0000D7070000}"/>
    <cellStyle name="Normal 2 2 2 2 9" xfId="2008" xr:uid="{00000000-0005-0000-0000-0000D8070000}"/>
    <cellStyle name="Normal 2 2 2 20" xfId="2009" xr:uid="{00000000-0005-0000-0000-0000D9070000}"/>
    <cellStyle name="Normal 2 2 2 21" xfId="2010" xr:uid="{00000000-0005-0000-0000-0000DA070000}"/>
    <cellStyle name="Normal 2 2 2 22" xfId="2011" xr:uid="{00000000-0005-0000-0000-0000DB070000}"/>
    <cellStyle name="Normal 2 2 2 23" xfId="2012" xr:uid="{00000000-0005-0000-0000-0000DC070000}"/>
    <cellStyle name="Normal 2 2 2 24" xfId="2013" xr:uid="{00000000-0005-0000-0000-0000DD070000}"/>
    <cellStyle name="Normal 2 2 2 25" xfId="2014" xr:uid="{00000000-0005-0000-0000-0000DE070000}"/>
    <cellStyle name="Normal 2 2 2 26" xfId="2015" xr:uid="{00000000-0005-0000-0000-0000DF070000}"/>
    <cellStyle name="Normal 2 2 2 27" xfId="2016" xr:uid="{00000000-0005-0000-0000-0000E0070000}"/>
    <cellStyle name="Normal 2 2 2 28" xfId="2017" xr:uid="{00000000-0005-0000-0000-0000E1070000}"/>
    <cellStyle name="Normal 2 2 2 29" xfId="2018" xr:uid="{00000000-0005-0000-0000-0000E2070000}"/>
    <cellStyle name="Normal 2 2 2 3" xfId="2019" xr:uid="{00000000-0005-0000-0000-0000E3070000}"/>
    <cellStyle name="Normal 2 2 2 3 2" xfId="2020" xr:uid="{00000000-0005-0000-0000-0000E4070000}"/>
    <cellStyle name="Normal 2 2 2 3 2 2" xfId="2021" xr:uid="{00000000-0005-0000-0000-0000E5070000}"/>
    <cellStyle name="Normal 2 2 2 3 2 3" xfId="2022" xr:uid="{00000000-0005-0000-0000-0000E6070000}"/>
    <cellStyle name="Normal 2 2 2 3 3" xfId="2023" xr:uid="{00000000-0005-0000-0000-0000E7070000}"/>
    <cellStyle name="Normal 2 2 2 3 4" xfId="2024" xr:uid="{00000000-0005-0000-0000-0000E8070000}"/>
    <cellStyle name="Normal 2 2 2 3 5" xfId="2025" xr:uid="{00000000-0005-0000-0000-0000E9070000}"/>
    <cellStyle name="Normal 2 2 2 3 6" xfId="2026" xr:uid="{00000000-0005-0000-0000-0000EA070000}"/>
    <cellStyle name="Normal 2 2 2 3 7" xfId="2027" xr:uid="{00000000-0005-0000-0000-0000EB070000}"/>
    <cellStyle name="Normal 2 2 2 3 8" xfId="2028" xr:uid="{00000000-0005-0000-0000-0000EC070000}"/>
    <cellStyle name="Normal 2 2 2 30" xfId="2029" xr:uid="{00000000-0005-0000-0000-0000ED070000}"/>
    <cellStyle name="Normal 2 2 2 31" xfId="2030" xr:uid="{00000000-0005-0000-0000-0000EE070000}"/>
    <cellStyle name="Normal 2 2 2 32" xfId="2031" xr:uid="{00000000-0005-0000-0000-0000EF070000}"/>
    <cellStyle name="Normal 2 2 2 33" xfId="2032" xr:uid="{00000000-0005-0000-0000-0000F0070000}"/>
    <cellStyle name="Normal 2 2 2 34" xfId="2033" xr:uid="{00000000-0005-0000-0000-0000F1070000}"/>
    <cellStyle name="Normal 2 2 2 35" xfId="2034" xr:uid="{00000000-0005-0000-0000-0000F2070000}"/>
    <cellStyle name="Normal 2 2 2 36" xfId="2035" xr:uid="{00000000-0005-0000-0000-0000F3070000}"/>
    <cellStyle name="Normal 2 2 2 37" xfId="2036" xr:uid="{00000000-0005-0000-0000-0000F4070000}"/>
    <cellStyle name="Normal 2 2 2 38" xfId="2037" xr:uid="{00000000-0005-0000-0000-0000F5070000}"/>
    <cellStyle name="Normal 2 2 2 39" xfId="2038" xr:uid="{00000000-0005-0000-0000-0000F6070000}"/>
    <cellStyle name="Normal 2 2 2 4" xfId="2039" xr:uid="{00000000-0005-0000-0000-0000F7070000}"/>
    <cellStyle name="Normal 2 2 2 4 2" xfId="2040" xr:uid="{00000000-0005-0000-0000-0000F8070000}"/>
    <cellStyle name="Normal 2 2 2 4 2 2" xfId="2041" xr:uid="{00000000-0005-0000-0000-0000F9070000}"/>
    <cellStyle name="Normal 2 2 2 4 2 3" xfId="2042" xr:uid="{00000000-0005-0000-0000-0000FA070000}"/>
    <cellStyle name="Normal 2 2 2 4 3" xfId="2043" xr:uid="{00000000-0005-0000-0000-0000FB070000}"/>
    <cellStyle name="Normal 2 2 2 40" xfId="2044" xr:uid="{00000000-0005-0000-0000-0000FC070000}"/>
    <cellStyle name="Normal 2 2 2 41" xfId="2045" xr:uid="{00000000-0005-0000-0000-0000FD070000}"/>
    <cellStyle name="Normal 2 2 2 42" xfId="2046" xr:uid="{00000000-0005-0000-0000-0000FE070000}"/>
    <cellStyle name="Normal 2 2 2 43" xfId="2047" xr:uid="{00000000-0005-0000-0000-0000FF070000}"/>
    <cellStyle name="Normal 2 2 2 44" xfId="2048" xr:uid="{00000000-0005-0000-0000-000000080000}"/>
    <cellStyle name="Normal 2 2 2 45" xfId="2049" xr:uid="{00000000-0005-0000-0000-000001080000}"/>
    <cellStyle name="Normal 2 2 2 46" xfId="2050" xr:uid="{00000000-0005-0000-0000-000002080000}"/>
    <cellStyle name="Normal 2 2 2 47" xfId="2051" xr:uid="{00000000-0005-0000-0000-000003080000}"/>
    <cellStyle name="Normal 2 2 2 5" xfId="2052" xr:uid="{00000000-0005-0000-0000-000004080000}"/>
    <cellStyle name="Normal 2 2 2 6" xfId="2053" xr:uid="{00000000-0005-0000-0000-000005080000}"/>
    <cellStyle name="Normal 2 2 2 7" xfId="2054" xr:uid="{00000000-0005-0000-0000-000006080000}"/>
    <cellStyle name="Normal 2 2 2 8" xfId="2055" xr:uid="{00000000-0005-0000-0000-000007080000}"/>
    <cellStyle name="Normal 2 2 2 9" xfId="2056" xr:uid="{00000000-0005-0000-0000-000008080000}"/>
    <cellStyle name="Normal 2 2 2_Budget 2009-Plan B-Final" xfId="2057" xr:uid="{00000000-0005-0000-0000-000009080000}"/>
    <cellStyle name="Normal 2 2 20" xfId="2058" xr:uid="{00000000-0005-0000-0000-00000A080000}"/>
    <cellStyle name="Normal 2 2 21" xfId="2059" xr:uid="{00000000-0005-0000-0000-00000B080000}"/>
    <cellStyle name="Normal 2 2 22" xfId="2060" xr:uid="{00000000-0005-0000-0000-00000C080000}"/>
    <cellStyle name="Normal 2 2 23" xfId="2061" xr:uid="{00000000-0005-0000-0000-00000D080000}"/>
    <cellStyle name="Normal 2 2 24" xfId="2062" xr:uid="{00000000-0005-0000-0000-00000E080000}"/>
    <cellStyle name="Normal 2 2 25" xfId="2063" xr:uid="{00000000-0005-0000-0000-00000F080000}"/>
    <cellStyle name="Normal 2 2 26" xfId="2064" xr:uid="{00000000-0005-0000-0000-000010080000}"/>
    <cellStyle name="Normal 2 2 27" xfId="2065" xr:uid="{00000000-0005-0000-0000-000011080000}"/>
    <cellStyle name="Normal 2 2 28" xfId="2066" xr:uid="{00000000-0005-0000-0000-000012080000}"/>
    <cellStyle name="Normal 2 2 29" xfId="2067" xr:uid="{00000000-0005-0000-0000-000013080000}"/>
    <cellStyle name="Normal 2 2 3" xfId="2068" xr:uid="{00000000-0005-0000-0000-000014080000}"/>
    <cellStyle name="Normal 2 2 3 2" xfId="2069" xr:uid="{00000000-0005-0000-0000-000015080000}"/>
    <cellStyle name="Normal 2 2 3 2 2" xfId="2070" xr:uid="{00000000-0005-0000-0000-000016080000}"/>
    <cellStyle name="Normal 2 2 3 2 3" xfId="2071" xr:uid="{00000000-0005-0000-0000-000017080000}"/>
    <cellStyle name="Normal 2 2 3 2 4" xfId="2072" xr:uid="{00000000-0005-0000-0000-000018080000}"/>
    <cellStyle name="Normal 2 2 3 2 5" xfId="2073" xr:uid="{00000000-0005-0000-0000-000019080000}"/>
    <cellStyle name="Normal 2 2 3 2 6" xfId="2074" xr:uid="{00000000-0005-0000-0000-00001A080000}"/>
    <cellStyle name="Normal 2 2 3 2 7" xfId="2075" xr:uid="{00000000-0005-0000-0000-00001B080000}"/>
    <cellStyle name="Normal 2 2 3 2 8" xfId="2076" xr:uid="{00000000-0005-0000-0000-00001C080000}"/>
    <cellStyle name="Normal 2 2 3 2_Fsoft Finance Report 0809 Template" xfId="2077" xr:uid="{00000000-0005-0000-0000-00001D080000}"/>
    <cellStyle name="Normal 2 2 3 3" xfId="2078" xr:uid="{00000000-0005-0000-0000-00001E080000}"/>
    <cellStyle name="Normal 2 2 3 4" xfId="2079" xr:uid="{00000000-0005-0000-0000-00001F080000}"/>
    <cellStyle name="Normal 2 2 3 5" xfId="2080" xr:uid="{00000000-0005-0000-0000-000020080000}"/>
    <cellStyle name="Normal 2 2 3 6" xfId="2081" xr:uid="{00000000-0005-0000-0000-000021080000}"/>
    <cellStyle name="Normal 2 2 3 7" xfId="2082" xr:uid="{00000000-0005-0000-0000-000022080000}"/>
    <cellStyle name="Normal 2 2 3 8" xfId="2083" xr:uid="{00000000-0005-0000-0000-000023080000}"/>
    <cellStyle name="Normal 2 2 3_Fsoft Finance Report 0809 Template" xfId="2084" xr:uid="{00000000-0005-0000-0000-000024080000}"/>
    <cellStyle name="Normal 2 2 30" xfId="2085" xr:uid="{00000000-0005-0000-0000-000025080000}"/>
    <cellStyle name="Normal 2 2 31" xfId="2086" xr:uid="{00000000-0005-0000-0000-000026080000}"/>
    <cellStyle name="Normal 2 2 32" xfId="2087" xr:uid="{00000000-0005-0000-0000-000027080000}"/>
    <cellStyle name="Normal 2 2 33" xfId="2088" xr:uid="{00000000-0005-0000-0000-000028080000}"/>
    <cellStyle name="Normal 2 2 34" xfId="2089" xr:uid="{00000000-0005-0000-0000-000029080000}"/>
    <cellStyle name="Normal 2 2 35" xfId="2090" xr:uid="{00000000-0005-0000-0000-00002A080000}"/>
    <cellStyle name="Normal 2 2 36" xfId="2091" xr:uid="{00000000-0005-0000-0000-00002B080000}"/>
    <cellStyle name="Normal 2 2 37" xfId="2092" xr:uid="{00000000-0005-0000-0000-00002C080000}"/>
    <cellStyle name="Normal 2 2 38" xfId="2093" xr:uid="{00000000-0005-0000-0000-00002D080000}"/>
    <cellStyle name="Normal 2 2 39" xfId="2094" xr:uid="{00000000-0005-0000-0000-00002E080000}"/>
    <cellStyle name="Normal 2 2 4" xfId="2095" xr:uid="{00000000-0005-0000-0000-00002F080000}"/>
    <cellStyle name="Normal 2 2 4 2" xfId="2096" xr:uid="{00000000-0005-0000-0000-000030080000}"/>
    <cellStyle name="Normal 2 2 40" xfId="2097" xr:uid="{00000000-0005-0000-0000-000031080000}"/>
    <cellStyle name="Normal 2 2 41" xfId="2098" xr:uid="{00000000-0005-0000-0000-000032080000}"/>
    <cellStyle name="Normal 2 2 42" xfId="2099" xr:uid="{00000000-0005-0000-0000-000033080000}"/>
    <cellStyle name="Normal 2 2 43" xfId="2100" xr:uid="{00000000-0005-0000-0000-000034080000}"/>
    <cellStyle name="Normal 2 2 44" xfId="2101" xr:uid="{00000000-0005-0000-0000-000035080000}"/>
    <cellStyle name="Normal 2 2 45" xfId="2102" xr:uid="{00000000-0005-0000-0000-000036080000}"/>
    <cellStyle name="Normal 2 2 46" xfId="2103" xr:uid="{00000000-0005-0000-0000-000037080000}"/>
    <cellStyle name="Normal 2 2 47" xfId="2104" xr:uid="{00000000-0005-0000-0000-000038080000}"/>
    <cellStyle name="Normal 2 2 48" xfId="2105" xr:uid="{00000000-0005-0000-0000-000039080000}"/>
    <cellStyle name="Normal 2 2 49" xfId="2106" xr:uid="{00000000-0005-0000-0000-00003A080000}"/>
    <cellStyle name="Normal 2 2 5" xfId="2107" xr:uid="{00000000-0005-0000-0000-00003B080000}"/>
    <cellStyle name="Normal 2 2 5 2" xfId="2108" xr:uid="{00000000-0005-0000-0000-00003C080000}"/>
    <cellStyle name="Normal 2 2 5 3" xfId="2109" xr:uid="{00000000-0005-0000-0000-00003D080000}"/>
    <cellStyle name="Normal 2 2 5_Gui Ha" xfId="2110" xr:uid="{00000000-0005-0000-0000-00003E080000}"/>
    <cellStyle name="Normal 2 2 50" xfId="2111" xr:uid="{00000000-0005-0000-0000-00003F080000}"/>
    <cellStyle name="Normal 2 2 51" xfId="2112" xr:uid="{00000000-0005-0000-0000-000040080000}"/>
    <cellStyle name="Normal 2 2 6" xfId="2113" xr:uid="{00000000-0005-0000-0000-000041080000}"/>
    <cellStyle name="Normal 2 2 7" xfId="2114" xr:uid="{00000000-0005-0000-0000-000042080000}"/>
    <cellStyle name="Normal 2 2 8" xfId="2115" xr:uid="{00000000-0005-0000-0000-000043080000}"/>
    <cellStyle name="Normal 2 2 9" xfId="2116" xr:uid="{00000000-0005-0000-0000-000044080000}"/>
    <cellStyle name="Normal 2 2_Gui Ha" xfId="2117" xr:uid="{00000000-0005-0000-0000-000045080000}"/>
    <cellStyle name="Normal 2 20" xfId="2118" xr:uid="{00000000-0005-0000-0000-000046080000}"/>
    <cellStyle name="Normal 2 20 2" xfId="2119" xr:uid="{00000000-0005-0000-0000-000047080000}"/>
    <cellStyle name="Normal 2 20 2 2" xfId="2120" xr:uid="{00000000-0005-0000-0000-000048080000}"/>
    <cellStyle name="Normal 2 20 2 2 2" xfId="2121" xr:uid="{00000000-0005-0000-0000-000049080000}"/>
    <cellStyle name="Normal 2 20 2 2 3" xfId="2122" xr:uid="{00000000-0005-0000-0000-00004A080000}"/>
    <cellStyle name="Normal 2 20 2 3" xfId="2123" xr:uid="{00000000-0005-0000-0000-00004B080000}"/>
    <cellStyle name="Normal 2 20 3" xfId="2124" xr:uid="{00000000-0005-0000-0000-00004C080000}"/>
    <cellStyle name="Normal 2 20 4" xfId="2125" xr:uid="{00000000-0005-0000-0000-00004D080000}"/>
    <cellStyle name="Normal 2 20_Fsoft Finance Report 0809 Template" xfId="2126" xr:uid="{00000000-0005-0000-0000-00004E080000}"/>
    <cellStyle name="Normal 2 21" xfId="2127" xr:uid="{00000000-0005-0000-0000-00004F080000}"/>
    <cellStyle name="Normal 2 21 2" xfId="2128" xr:uid="{00000000-0005-0000-0000-000050080000}"/>
    <cellStyle name="Normal 2 21 2 2" xfId="2129" xr:uid="{00000000-0005-0000-0000-000051080000}"/>
    <cellStyle name="Normal 2 21 2 2 2" xfId="2130" xr:uid="{00000000-0005-0000-0000-000052080000}"/>
    <cellStyle name="Normal 2 21 2 2 3" xfId="2131" xr:uid="{00000000-0005-0000-0000-000053080000}"/>
    <cellStyle name="Normal 2 21 2 3" xfId="2132" xr:uid="{00000000-0005-0000-0000-000054080000}"/>
    <cellStyle name="Normal 2 21 3" xfId="2133" xr:uid="{00000000-0005-0000-0000-000055080000}"/>
    <cellStyle name="Normal 2 21 4" xfId="2134" xr:uid="{00000000-0005-0000-0000-000056080000}"/>
    <cellStyle name="Normal 2 21_Fsoft Finance Report 0809 Template" xfId="2135" xr:uid="{00000000-0005-0000-0000-000057080000}"/>
    <cellStyle name="Normal 2 22" xfId="2136" xr:uid="{00000000-0005-0000-0000-000058080000}"/>
    <cellStyle name="Normal 2 22 2" xfId="2137" xr:uid="{00000000-0005-0000-0000-000059080000}"/>
    <cellStyle name="Normal 2 22 2 2" xfId="2138" xr:uid="{00000000-0005-0000-0000-00005A080000}"/>
    <cellStyle name="Normal 2 22 2 2 2" xfId="2139" xr:uid="{00000000-0005-0000-0000-00005B080000}"/>
    <cellStyle name="Normal 2 22 2 2 3" xfId="2140" xr:uid="{00000000-0005-0000-0000-00005C080000}"/>
    <cellStyle name="Normal 2 22 2 3" xfId="2141" xr:uid="{00000000-0005-0000-0000-00005D080000}"/>
    <cellStyle name="Normal 2 22 3" xfId="2142" xr:uid="{00000000-0005-0000-0000-00005E080000}"/>
    <cellStyle name="Normal 2 22 4" xfId="2143" xr:uid="{00000000-0005-0000-0000-00005F080000}"/>
    <cellStyle name="Normal 2 22_Fsoft Finance Report 0809 Template" xfId="2144" xr:uid="{00000000-0005-0000-0000-000060080000}"/>
    <cellStyle name="Normal 2 23" xfId="2145" xr:uid="{00000000-0005-0000-0000-000061080000}"/>
    <cellStyle name="Normal 2 23 2" xfId="2146" xr:uid="{00000000-0005-0000-0000-000062080000}"/>
    <cellStyle name="Normal 2 23 2 2" xfId="2147" xr:uid="{00000000-0005-0000-0000-000063080000}"/>
    <cellStyle name="Normal 2 23 2 2 2" xfId="2148" xr:uid="{00000000-0005-0000-0000-000064080000}"/>
    <cellStyle name="Normal 2 23 2 2 3" xfId="2149" xr:uid="{00000000-0005-0000-0000-000065080000}"/>
    <cellStyle name="Normal 2 23 2 3" xfId="2150" xr:uid="{00000000-0005-0000-0000-000066080000}"/>
    <cellStyle name="Normal 2 23 3" xfId="2151" xr:uid="{00000000-0005-0000-0000-000067080000}"/>
    <cellStyle name="Normal 2 23 4" xfId="2152" xr:uid="{00000000-0005-0000-0000-000068080000}"/>
    <cellStyle name="Normal 2 23_Fsoft Finance Report 0809 Template" xfId="2153" xr:uid="{00000000-0005-0000-0000-000069080000}"/>
    <cellStyle name="Normal 2 24" xfId="2154" xr:uid="{00000000-0005-0000-0000-00006A080000}"/>
    <cellStyle name="Normal 2 24 2" xfId="2155" xr:uid="{00000000-0005-0000-0000-00006B080000}"/>
    <cellStyle name="Normal 2 24 2 2" xfId="2156" xr:uid="{00000000-0005-0000-0000-00006C080000}"/>
    <cellStyle name="Normal 2 24 2 2 2" xfId="2157" xr:uid="{00000000-0005-0000-0000-00006D080000}"/>
    <cellStyle name="Normal 2 24 2 2 3" xfId="2158" xr:uid="{00000000-0005-0000-0000-00006E080000}"/>
    <cellStyle name="Normal 2 24 2 3" xfId="2159" xr:uid="{00000000-0005-0000-0000-00006F080000}"/>
    <cellStyle name="Normal 2 24 3" xfId="2160" xr:uid="{00000000-0005-0000-0000-000070080000}"/>
    <cellStyle name="Normal 2 24 4" xfId="2161" xr:uid="{00000000-0005-0000-0000-000071080000}"/>
    <cellStyle name="Normal 2 24_Fsoft Finance Report 0809 Template" xfId="2162" xr:uid="{00000000-0005-0000-0000-000072080000}"/>
    <cellStyle name="Normal 2 25" xfId="2163" xr:uid="{00000000-0005-0000-0000-000073080000}"/>
    <cellStyle name="Normal 2 25 2" xfId="2164" xr:uid="{00000000-0005-0000-0000-000074080000}"/>
    <cellStyle name="Normal 2 25 2 2" xfId="2165" xr:uid="{00000000-0005-0000-0000-000075080000}"/>
    <cellStyle name="Normal 2 25 2 2 2" xfId="2166" xr:uid="{00000000-0005-0000-0000-000076080000}"/>
    <cellStyle name="Normal 2 25 2 2 3" xfId="2167" xr:uid="{00000000-0005-0000-0000-000077080000}"/>
    <cellStyle name="Normal 2 25 2 3" xfId="2168" xr:uid="{00000000-0005-0000-0000-000078080000}"/>
    <cellStyle name="Normal 2 25 3" xfId="2169" xr:uid="{00000000-0005-0000-0000-000079080000}"/>
    <cellStyle name="Normal 2 25 4" xfId="2170" xr:uid="{00000000-0005-0000-0000-00007A080000}"/>
    <cellStyle name="Normal 2 25_Fsoft Finance Report 0809 Template" xfId="2171" xr:uid="{00000000-0005-0000-0000-00007B080000}"/>
    <cellStyle name="Normal 2 26" xfId="2172" xr:uid="{00000000-0005-0000-0000-00007C080000}"/>
    <cellStyle name="Normal 2 26 2" xfId="2173" xr:uid="{00000000-0005-0000-0000-00007D080000}"/>
    <cellStyle name="Normal 2 26 2 2" xfId="2174" xr:uid="{00000000-0005-0000-0000-00007E080000}"/>
    <cellStyle name="Normal 2 26 2 2 2" xfId="2175" xr:uid="{00000000-0005-0000-0000-00007F080000}"/>
    <cellStyle name="Normal 2 26 2 2 3" xfId="2176" xr:uid="{00000000-0005-0000-0000-000080080000}"/>
    <cellStyle name="Normal 2 26 2 3" xfId="2177" xr:uid="{00000000-0005-0000-0000-000081080000}"/>
    <cellStyle name="Normal 2 26 3" xfId="2178" xr:uid="{00000000-0005-0000-0000-000082080000}"/>
    <cellStyle name="Normal 2 26 4" xfId="2179" xr:uid="{00000000-0005-0000-0000-000083080000}"/>
    <cellStyle name="Normal 2 26_Fsoft Finance Report 0809 Template" xfId="2180" xr:uid="{00000000-0005-0000-0000-000084080000}"/>
    <cellStyle name="Normal 2 27" xfId="2181" xr:uid="{00000000-0005-0000-0000-000085080000}"/>
    <cellStyle name="Normal 2 27 2" xfId="2182" xr:uid="{00000000-0005-0000-0000-000086080000}"/>
    <cellStyle name="Normal 2 27 3" xfId="2183" xr:uid="{00000000-0005-0000-0000-000087080000}"/>
    <cellStyle name="Normal 2 27_Budget 2009-Plan B-Final" xfId="2184" xr:uid="{00000000-0005-0000-0000-000088080000}"/>
    <cellStyle name="Normal 2 28" xfId="2185" xr:uid="{00000000-0005-0000-0000-000089080000}"/>
    <cellStyle name="Normal 2 28 2" xfId="2186" xr:uid="{00000000-0005-0000-0000-00008A080000}"/>
    <cellStyle name="Normal 2 28 3" xfId="2187" xr:uid="{00000000-0005-0000-0000-00008B080000}"/>
    <cellStyle name="Normal 2 28_Budget 2009-Plan B-Final" xfId="2188" xr:uid="{00000000-0005-0000-0000-00008C080000}"/>
    <cellStyle name="Normal 2 29" xfId="2189" xr:uid="{00000000-0005-0000-0000-00008D080000}"/>
    <cellStyle name="Normal 2 29 2" xfId="2190" xr:uid="{00000000-0005-0000-0000-00008E080000}"/>
    <cellStyle name="Normal 2 29 2 2" xfId="2191" xr:uid="{00000000-0005-0000-0000-00008F080000}"/>
    <cellStyle name="Normal 2 29 2 3" xfId="2192" xr:uid="{00000000-0005-0000-0000-000090080000}"/>
    <cellStyle name="Normal 2 29 2_Fsoft Finance Report 0809 Template" xfId="2193" xr:uid="{00000000-0005-0000-0000-000091080000}"/>
    <cellStyle name="Normal 2 29 3" xfId="2194" xr:uid="{00000000-0005-0000-0000-000092080000}"/>
    <cellStyle name="Normal 2 29_Fsoft Finance Report 0809 Template" xfId="2195" xr:uid="{00000000-0005-0000-0000-000093080000}"/>
    <cellStyle name="Normal 2 3" xfId="2196" xr:uid="{00000000-0005-0000-0000-000094080000}"/>
    <cellStyle name="Normal 2 3 10" xfId="2197" xr:uid="{00000000-0005-0000-0000-000095080000}"/>
    <cellStyle name="Normal 2 3 2" xfId="2198" xr:uid="{00000000-0005-0000-0000-000096080000}"/>
    <cellStyle name="Normal 2 3 2 2" xfId="2199" xr:uid="{00000000-0005-0000-0000-000097080000}"/>
    <cellStyle name="Normal 2 3 2 2 2" xfId="2200" xr:uid="{00000000-0005-0000-0000-000098080000}"/>
    <cellStyle name="Normal 2 3 2 2 2 2" xfId="2201" xr:uid="{00000000-0005-0000-0000-000099080000}"/>
    <cellStyle name="Normal 2 3 2 2 2 2 2" xfId="2202" xr:uid="{00000000-0005-0000-0000-00009A080000}"/>
    <cellStyle name="Normal 2 3 2 2 2 2 3" xfId="2203" xr:uid="{00000000-0005-0000-0000-00009B080000}"/>
    <cellStyle name="Normal 2 3 2 2 2 2 4" xfId="2204" xr:uid="{00000000-0005-0000-0000-00009C080000}"/>
    <cellStyle name="Normal 2 3 2 2 2 2 5" xfId="2205" xr:uid="{00000000-0005-0000-0000-00009D080000}"/>
    <cellStyle name="Normal 2 3 2 2 2 2 6" xfId="2206" xr:uid="{00000000-0005-0000-0000-00009E080000}"/>
    <cellStyle name="Normal 2 3 2 2 2 2 7" xfId="2207" xr:uid="{00000000-0005-0000-0000-00009F080000}"/>
    <cellStyle name="Normal 2 3 2 2 2 2 8" xfId="2208" xr:uid="{00000000-0005-0000-0000-0000A0080000}"/>
    <cellStyle name="Normal 2 3 2 2 2 3" xfId="2209" xr:uid="{00000000-0005-0000-0000-0000A1080000}"/>
    <cellStyle name="Normal 2 3 2 2 2 4" xfId="2210" xr:uid="{00000000-0005-0000-0000-0000A2080000}"/>
    <cellStyle name="Normal 2 3 2 2 2 5" xfId="2211" xr:uid="{00000000-0005-0000-0000-0000A3080000}"/>
    <cellStyle name="Normal 2 3 2 2 2 6" xfId="2212" xr:uid="{00000000-0005-0000-0000-0000A4080000}"/>
    <cellStyle name="Normal 2 3 2 2 2 7" xfId="2213" xr:uid="{00000000-0005-0000-0000-0000A5080000}"/>
    <cellStyle name="Normal 2 3 2 2 2 8" xfId="2214" xr:uid="{00000000-0005-0000-0000-0000A6080000}"/>
    <cellStyle name="Normal 2 3 2 2 3" xfId="2215" xr:uid="{00000000-0005-0000-0000-0000A7080000}"/>
    <cellStyle name="Normal 2 3 2 2 4" xfId="2216" xr:uid="{00000000-0005-0000-0000-0000A8080000}"/>
    <cellStyle name="Normal 2 3 2 2 5" xfId="2217" xr:uid="{00000000-0005-0000-0000-0000A9080000}"/>
    <cellStyle name="Normal 2 3 2 2 6" xfId="2218" xr:uid="{00000000-0005-0000-0000-0000AA080000}"/>
    <cellStyle name="Normal 2 3 2 2 7" xfId="2219" xr:uid="{00000000-0005-0000-0000-0000AB080000}"/>
    <cellStyle name="Normal 2 3 2 2 8" xfId="2220" xr:uid="{00000000-0005-0000-0000-0000AC080000}"/>
    <cellStyle name="Normal 2 3 2 2 9" xfId="2221" xr:uid="{00000000-0005-0000-0000-0000AD080000}"/>
    <cellStyle name="Normal 2 3 2 3" xfId="2222" xr:uid="{00000000-0005-0000-0000-0000AE080000}"/>
    <cellStyle name="Normal 2 3 2 3 2" xfId="2223" xr:uid="{00000000-0005-0000-0000-0000AF080000}"/>
    <cellStyle name="Normal 2 3 2 3 3" xfId="2224" xr:uid="{00000000-0005-0000-0000-0000B0080000}"/>
    <cellStyle name="Normal 2 3 2 3 4" xfId="2225" xr:uid="{00000000-0005-0000-0000-0000B1080000}"/>
    <cellStyle name="Normal 2 3 2 3 5" xfId="2226" xr:uid="{00000000-0005-0000-0000-0000B2080000}"/>
    <cellStyle name="Normal 2 3 2 3 6" xfId="2227" xr:uid="{00000000-0005-0000-0000-0000B3080000}"/>
    <cellStyle name="Normal 2 3 2 3 7" xfId="2228" xr:uid="{00000000-0005-0000-0000-0000B4080000}"/>
    <cellStyle name="Normal 2 3 2 3 8" xfId="2229" xr:uid="{00000000-0005-0000-0000-0000B5080000}"/>
    <cellStyle name="Normal 2 3 2 4" xfId="2230" xr:uid="{00000000-0005-0000-0000-0000B6080000}"/>
    <cellStyle name="Normal 2 3 2 5" xfId="2231" xr:uid="{00000000-0005-0000-0000-0000B7080000}"/>
    <cellStyle name="Normal 2 3 2 6" xfId="2232" xr:uid="{00000000-0005-0000-0000-0000B8080000}"/>
    <cellStyle name="Normal 2 3 2 7" xfId="2233" xr:uid="{00000000-0005-0000-0000-0000B9080000}"/>
    <cellStyle name="Normal 2 3 2 8" xfId="2234" xr:uid="{00000000-0005-0000-0000-0000BA080000}"/>
    <cellStyle name="Normal 2 3 2 9" xfId="2235" xr:uid="{00000000-0005-0000-0000-0000BB080000}"/>
    <cellStyle name="Normal 2 3 3" xfId="2236" xr:uid="{00000000-0005-0000-0000-0000BC080000}"/>
    <cellStyle name="Normal 2 3 3 2" xfId="2237" xr:uid="{00000000-0005-0000-0000-0000BD080000}"/>
    <cellStyle name="Normal 2 3 3 2 2" xfId="2238" xr:uid="{00000000-0005-0000-0000-0000BE080000}"/>
    <cellStyle name="Normal 2 3 3 2 3" xfId="2239" xr:uid="{00000000-0005-0000-0000-0000BF080000}"/>
    <cellStyle name="Normal 2 3 3 2 4" xfId="2240" xr:uid="{00000000-0005-0000-0000-0000C0080000}"/>
    <cellStyle name="Normal 2 3 3 2 5" xfId="2241" xr:uid="{00000000-0005-0000-0000-0000C1080000}"/>
    <cellStyle name="Normal 2 3 3 2 6" xfId="2242" xr:uid="{00000000-0005-0000-0000-0000C2080000}"/>
    <cellStyle name="Normal 2 3 3 2 7" xfId="2243" xr:uid="{00000000-0005-0000-0000-0000C3080000}"/>
    <cellStyle name="Normal 2 3 3 2 8" xfId="2244" xr:uid="{00000000-0005-0000-0000-0000C4080000}"/>
    <cellStyle name="Normal 2 3 3 3" xfId="2245" xr:uid="{00000000-0005-0000-0000-0000C5080000}"/>
    <cellStyle name="Normal 2 3 3 4" xfId="2246" xr:uid="{00000000-0005-0000-0000-0000C6080000}"/>
    <cellStyle name="Normal 2 3 3 5" xfId="2247" xr:uid="{00000000-0005-0000-0000-0000C7080000}"/>
    <cellStyle name="Normal 2 3 3 6" xfId="2248" xr:uid="{00000000-0005-0000-0000-0000C8080000}"/>
    <cellStyle name="Normal 2 3 3 7" xfId="2249" xr:uid="{00000000-0005-0000-0000-0000C9080000}"/>
    <cellStyle name="Normal 2 3 3 8" xfId="2250" xr:uid="{00000000-0005-0000-0000-0000CA080000}"/>
    <cellStyle name="Normal 2 3 4" xfId="2251" xr:uid="{00000000-0005-0000-0000-0000CB080000}"/>
    <cellStyle name="Normal 2 3 5" xfId="2252" xr:uid="{00000000-0005-0000-0000-0000CC080000}"/>
    <cellStyle name="Normal 2 3 6" xfId="2253" xr:uid="{00000000-0005-0000-0000-0000CD080000}"/>
    <cellStyle name="Normal 2 3 7" xfId="2254" xr:uid="{00000000-0005-0000-0000-0000CE080000}"/>
    <cellStyle name="Normal 2 3 8" xfId="2255" xr:uid="{00000000-0005-0000-0000-0000CF080000}"/>
    <cellStyle name="Normal 2 3 9" xfId="2256" xr:uid="{00000000-0005-0000-0000-0000D0080000}"/>
    <cellStyle name="Normal 2 3_Fsoft Finance Report 0809 Template" xfId="2257" xr:uid="{00000000-0005-0000-0000-0000D1080000}"/>
    <cellStyle name="Normal 2 30" xfId="2258" xr:uid="{00000000-0005-0000-0000-0000D2080000}"/>
    <cellStyle name="Normal 2 31" xfId="2259" xr:uid="{00000000-0005-0000-0000-0000D3080000}"/>
    <cellStyle name="Normal 2 32" xfId="2260" xr:uid="{00000000-0005-0000-0000-0000D4080000}"/>
    <cellStyle name="Normal 2 33" xfId="2261" xr:uid="{00000000-0005-0000-0000-0000D5080000}"/>
    <cellStyle name="Normal 2 34" xfId="2262" xr:uid="{00000000-0005-0000-0000-0000D6080000}"/>
    <cellStyle name="Normal 2 34 2" xfId="2263" xr:uid="{00000000-0005-0000-0000-0000D7080000}"/>
    <cellStyle name="Normal 2 34 3" xfId="2264" xr:uid="{00000000-0005-0000-0000-0000D8080000}"/>
    <cellStyle name="Normal 2 34_Gui Ha" xfId="2265" xr:uid="{00000000-0005-0000-0000-0000D9080000}"/>
    <cellStyle name="Normal 2 35" xfId="2266" xr:uid="{00000000-0005-0000-0000-0000DA080000}"/>
    <cellStyle name="Normal 2 36" xfId="2267" xr:uid="{00000000-0005-0000-0000-0000DB080000}"/>
    <cellStyle name="Normal 2 37" xfId="2268" xr:uid="{00000000-0005-0000-0000-0000DC080000}"/>
    <cellStyle name="Normal 2 38" xfId="2269" xr:uid="{00000000-0005-0000-0000-0000DD080000}"/>
    <cellStyle name="Normal 2 39" xfId="2270" xr:uid="{00000000-0005-0000-0000-0000DE080000}"/>
    <cellStyle name="Normal 2 4" xfId="2271" xr:uid="{00000000-0005-0000-0000-0000DF080000}"/>
    <cellStyle name="Normal 2 4 2" xfId="2272" xr:uid="{00000000-0005-0000-0000-0000E0080000}"/>
    <cellStyle name="Normal 2 4_Fsoft Finance Report 0809 Template" xfId="2273" xr:uid="{00000000-0005-0000-0000-0000E1080000}"/>
    <cellStyle name="Normal 2 40" xfId="2274" xr:uid="{00000000-0005-0000-0000-0000E2080000}"/>
    <cellStyle name="Normal 2 41" xfId="2275" xr:uid="{00000000-0005-0000-0000-0000E3080000}"/>
    <cellStyle name="Normal 2 42" xfId="2276" xr:uid="{00000000-0005-0000-0000-0000E4080000}"/>
    <cellStyle name="Normal 2 43" xfId="2277" xr:uid="{00000000-0005-0000-0000-0000E5080000}"/>
    <cellStyle name="Normal 2 44" xfId="2278" xr:uid="{00000000-0005-0000-0000-0000E6080000}"/>
    <cellStyle name="Normal 2 45" xfId="2279" xr:uid="{00000000-0005-0000-0000-0000E7080000}"/>
    <cellStyle name="Normal 2 46" xfId="2280" xr:uid="{00000000-0005-0000-0000-0000E8080000}"/>
    <cellStyle name="Normal 2 47" xfId="2281" xr:uid="{00000000-0005-0000-0000-0000E9080000}"/>
    <cellStyle name="Normal 2 48" xfId="2282" xr:uid="{00000000-0005-0000-0000-0000EA080000}"/>
    <cellStyle name="Normal 2 49" xfId="2283" xr:uid="{00000000-0005-0000-0000-0000EB080000}"/>
    <cellStyle name="Normal 2 5" xfId="2284" xr:uid="{00000000-0005-0000-0000-0000EC080000}"/>
    <cellStyle name="Normal 2 5 2" xfId="2285" xr:uid="{00000000-0005-0000-0000-0000ED080000}"/>
    <cellStyle name="Normal 2 5_Fsoft Finance Report 0809 Template" xfId="2286" xr:uid="{00000000-0005-0000-0000-0000EE080000}"/>
    <cellStyle name="Normal 2 6" xfId="2287" xr:uid="{00000000-0005-0000-0000-0000EF080000}"/>
    <cellStyle name="Normal 2 6 2" xfId="2288" xr:uid="{00000000-0005-0000-0000-0000F0080000}"/>
    <cellStyle name="Normal 2 6 2 2" xfId="2289" xr:uid="{00000000-0005-0000-0000-0000F1080000}"/>
    <cellStyle name="Normal 2 6 2 3" xfId="2290" xr:uid="{00000000-0005-0000-0000-0000F2080000}"/>
    <cellStyle name="Normal 2 6 2 4" xfId="2291" xr:uid="{00000000-0005-0000-0000-0000F3080000}"/>
    <cellStyle name="Normal 2 6 2 5" xfId="2292" xr:uid="{00000000-0005-0000-0000-0000F4080000}"/>
    <cellStyle name="Normal 2 6 2 6" xfId="2293" xr:uid="{00000000-0005-0000-0000-0000F5080000}"/>
    <cellStyle name="Normal 2 6 2 7" xfId="2294" xr:uid="{00000000-0005-0000-0000-0000F6080000}"/>
    <cellStyle name="Normal 2 6 2 8" xfId="2295" xr:uid="{00000000-0005-0000-0000-0000F7080000}"/>
    <cellStyle name="Normal 2 6 3" xfId="2296" xr:uid="{00000000-0005-0000-0000-0000F8080000}"/>
    <cellStyle name="Normal 2 6 4" xfId="2297" xr:uid="{00000000-0005-0000-0000-0000F9080000}"/>
    <cellStyle name="Normal 2 6 5" xfId="2298" xr:uid="{00000000-0005-0000-0000-0000FA080000}"/>
    <cellStyle name="Normal 2 6 6" xfId="2299" xr:uid="{00000000-0005-0000-0000-0000FB080000}"/>
    <cellStyle name="Normal 2 6 7" xfId="2300" xr:uid="{00000000-0005-0000-0000-0000FC080000}"/>
    <cellStyle name="Normal 2 6 8" xfId="2301" xr:uid="{00000000-0005-0000-0000-0000FD080000}"/>
    <cellStyle name="Normal 2 6_Fsoft Finance Report 0809 Template" xfId="2302" xr:uid="{00000000-0005-0000-0000-0000FE080000}"/>
    <cellStyle name="Normal 2 7" xfId="2303" xr:uid="{00000000-0005-0000-0000-0000FF080000}"/>
    <cellStyle name="Normal 2 7 2" xfId="2304" xr:uid="{00000000-0005-0000-0000-000000090000}"/>
    <cellStyle name="Normal 2 7 2 2" xfId="2305" xr:uid="{00000000-0005-0000-0000-000001090000}"/>
    <cellStyle name="Normal 2 7 2 2 2" xfId="2306" xr:uid="{00000000-0005-0000-0000-000002090000}"/>
    <cellStyle name="Normal 2 7 2 2 3" xfId="2307" xr:uid="{00000000-0005-0000-0000-000003090000}"/>
    <cellStyle name="Normal 2 7 2 3" xfId="2308" xr:uid="{00000000-0005-0000-0000-000004090000}"/>
    <cellStyle name="Normal 2 7 3" xfId="2309" xr:uid="{00000000-0005-0000-0000-000005090000}"/>
    <cellStyle name="Normal 2 7 4" xfId="2310" xr:uid="{00000000-0005-0000-0000-000006090000}"/>
    <cellStyle name="Normal 2 7_Fsoft Finance Report 0809 Template" xfId="2311" xr:uid="{00000000-0005-0000-0000-000007090000}"/>
    <cellStyle name="Normal 2 8" xfId="2312" xr:uid="{00000000-0005-0000-0000-000008090000}"/>
    <cellStyle name="Normal 2 8 2" xfId="2313" xr:uid="{00000000-0005-0000-0000-000009090000}"/>
    <cellStyle name="Normal 2 8 3" xfId="2314" xr:uid="{00000000-0005-0000-0000-00000A090000}"/>
    <cellStyle name="Normal 2 8 4" xfId="2315" xr:uid="{00000000-0005-0000-0000-00000B090000}"/>
    <cellStyle name="Normal 2 8_Budget 2009-Plan B-Final" xfId="2316" xr:uid="{00000000-0005-0000-0000-00000C090000}"/>
    <cellStyle name="Normal 2 9" xfId="2317" xr:uid="{00000000-0005-0000-0000-00000D090000}"/>
    <cellStyle name="Normal 2 9 2" xfId="2318" xr:uid="{00000000-0005-0000-0000-00000E090000}"/>
    <cellStyle name="Normal 2 9 2 2" xfId="2319" xr:uid="{00000000-0005-0000-0000-00000F090000}"/>
    <cellStyle name="Normal 2 9 2 2 2" xfId="2320" xr:uid="{00000000-0005-0000-0000-000010090000}"/>
    <cellStyle name="Normal 2 9 2 2 3" xfId="2321" xr:uid="{00000000-0005-0000-0000-000011090000}"/>
    <cellStyle name="Normal 2 9 2 3" xfId="2322" xr:uid="{00000000-0005-0000-0000-000012090000}"/>
    <cellStyle name="Normal 2 9 3" xfId="2323" xr:uid="{00000000-0005-0000-0000-000013090000}"/>
    <cellStyle name="Normal 2 9 4" xfId="2324" xr:uid="{00000000-0005-0000-0000-000014090000}"/>
    <cellStyle name="Normal 2 9_Fsoft Finance Report 0809 Template" xfId="2325" xr:uid="{00000000-0005-0000-0000-000015090000}"/>
    <cellStyle name="Normal 2_data 2008 from OGs-G21" xfId="2326" xr:uid="{00000000-0005-0000-0000-000016090000}"/>
    <cellStyle name="Normal 20" xfId="2327" xr:uid="{00000000-0005-0000-0000-000017090000}"/>
    <cellStyle name="Normal 21" xfId="2328" xr:uid="{00000000-0005-0000-0000-000018090000}"/>
    <cellStyle name="Normal 22" xfId="2329" xr:uid="{00000000-0005-0000-0000-000019090000}"/>
    <cellStyle name="Normal 23" xfId="2330" xr:uid="{00000000-0005-0000-0000-00001A090000}"/>
    <cellStyle name="Normal 24" xfId="2331" xr:uid="{00000000-0005-0000-0000-00001B090000}"/>
    <cellStyle name="Normal 25" xfId="2332" xr:uid="{00000000-0005-0000-0000-00001C090000}"/>
    <cellStyle name="Normal 26" xfId="2333" xr:uid="{00000000-0005-0000-0000-00001D090000}"/>
    <cellStyle name="Normal 27" xfId="2334" xr:uid="{00000000-0005-0000-0000-00001E090000}"/>
    <cellStyle name="Normal 28" xfId="2335" xr:uid="{00000000-0005-0000-0000-00001F090000}"/>
    <cellStyle name="Normal 29" xfId="2336" xr:uid="{00000000-0005-0000-0000-000020090000}"/>
    <cellStyle name="Normal 3" xfId="2337" xr:uid="{00000000-0005-0000-0000-000021090000}"/>
    <cellStyle name="Normal 3 10" xfId="2338" xr:uid="{00000000-0005-0000-0000-000022090000}"/>
    <cellStyle name="Normal 3 11" xfId="2339" xr:uid="{00000000-0005-0000-0000-000023090000}"/>
    <cellStyle name="Normal 3 12" xfId="2340" xr:uid="{00000000-0005-0000-0000-000024090000}"/>
    <cellStyle name="Normal 3 13" xfId="2341" xr:uid="{00000000-0005-0000-0000-000025090000}"/>
    <cellStyle name="Normal 3 13 2" xfId="3429" xr:uid="{00000000-0005-0000-0000-000026090000}"/>
    <cellStyle name="Normal 3 14" xfId="2342" xr:uid="{00000000-0005-0000-0000-000027090000}"/>
    <cellStyle name="Normal 3 15" xfId="2343" xr:uid="{00000000-0005-0000-0000-000028090000}"/>
    <cellStyle name="Normal 3 16" xfId="2344" xr:uid="{00000000-0005-0000-0000-000029090000}"/>
    <cellStyle name="Normal 3 17" xfId="2345" xr:uid="{00000000-0005-0000-0000-00002A090000}"/>
    <cellStyle name="Normal 3 18" xfId="2346" xr:uid="{00000000-0005-0000-0000-00002B090000}"/>
    <cellStyle name="Normal 3 19" xfId="2347" xr:uid="{00000000-0005-0000-0000-00002C090000}"/>
    <cellStyle name="Normal 3 2" xfId="2348" xr:uid="{00000000-0005-0000-0000-00002D090000}"/>
    <cellStyle name="Normal 3 2 10" xfId="2349" xr:uid="{00000000-0005-0000-0000-00002E090000}"/>
    <cellStyle name="Normal 3 2 11" xfId="2350" xr:uid="{00000000-0005-0000-0000-00002F090000}"/>
    <cellStyle name="Normal 3 2 12" xfId="2351" xr:uid="{00000000-0005-0000-0000-000030090000}"/>
    <cellStyle name="Normal 3 2 13" xfId="2352" xr:uid="{00000000-0005-0000-0000-000031090000}"/>
    <cellStyle name="Normal 3 2 14" xfId="2353" xr:uid="{00000000-0005-0000-0000-000032090000}"/>
    <cellStyle name="Normal 3 2 15" xfId="2354" xr:uid="{00000000-0005-0000-0000-000033090000}"/>
    <cellStyle name="Normal 3 2 16" xfId="2355" xr:uid="{00000000-0005-0000-0000-000034090000}"/>
    <cellStyle name="Normal 3 2 17" xfId="2356" xr:uid="{00000000-0005-0000-0000-000035090000}"/>
    <cellStyle name="Normal 3 2 18" xfId="2357" xr:uid="{00000000-0005-0000-0000-000036090000}"/>
    <cellStyle name="Normal 3 2 19" xfId="2358" xr:uid="{00000000-0005-0000-0000-000037090000}"/>
    <cellStyle name="Normal 3 2 2" xfId="2359" xr:uid="{00000000-0005-0000-0000-000038090000}"/>
    <cellStyle name="Normal 3 2 2 2" xfId="2360" xr:uid="{00000000-0005-0000-0000-000039090000}"/>
    <cellStyle name="Normal 3 2 2 3" xfId="2361" xr:uid="{00000000-0005-0000-0000-00003A090000}"/>
    <cellStyle name="Normal 3 2 2 4" xfId="2362" xr:uid="{00000000-0005-0000-0000-00003B090000}"/>
    <cellStyle name="Normal 3 2 2_Gui Ha" xfId="2363" xr:uid="{00000000-0005-0000-0000-00003C090000}"/>
    <cellStyle name="Normal 3 2 20" xfId="2364" xr:uid="{00000000-0005-0000-0000-00003D090000}"/>
    <cellStyle name="Normal 3 2 21" xfId="2365" xr:uid="{00000000-0005-0000-0000-00003E090000}"/>
    <cellStyle name="Normal 3 2 22" xfId="2366" xr:uid="{00000000-0005-0000-0000-00003F090000}"/>
    <cellStyle name="Normal 3 2 23" xfId="2367" xr:uid="{00000000-0005-0000-0000-000040090000}"/>
    <cellStyle name="Normal 3 2 24" xfId="2368" xr:uid="{00000000-0005-0000-0000-000041090000}"/>
    <cellStyle name="Normal 3 2 25" xfId="2369" xr:uid="{00000000-0005-0000-0000-000042090000}"/>
    <cellStyle name="Normal 3 2 26" xfId="2370" xr:uid="{00000000-0005-0000-0000-000043090000}"/>
    <cellStyle name="Normal 3 2 27" xfId="2371" xr:uid="{00000000-0005-0000-0000-000044090000}"/>
    <cellStyle name="Normal 3 2 28" xfId="2372" xr:uid="{00000000-0005-0000-0000-000045090000}"/>
    <cellStyle name="Normal 3 2 29" xfId="2373" xr:uid="{00000000-0005-0000-0000-000046090000}"/>
    <cellStyle name="Normal 3 2 3" xfId="2374" xr:uid="{00000000-0005-0000-0000-000047090000}"/>
    <cellStyle name="Normal 3 2 30" xfId="2375" xr:uid="{00000000-0005-0000-0000-000048090000}"/>
    <cellStyle name="Normal 3 2 31" xfId="2376" xr:uid="{00000000-0005-0000-0000-000049090000}"/>
    <cellStyle name="Normal 3 2 32" xfId="2377" xr:uid="{00000000-0005-0000-0000-00004A090000}"/>
    <cellStyle name="Normal 3 2 33" xfId="2378" xr:uid="{00000000-0005-0000-0000-00004B090000}"/>
    <cellStyle name="Normal 3 2 34" xfId="2379" xr:uid="{00000000-0005-0000-0000-00004C090000}"/>
    <cellStyle name="Normal 3 2 35" xfId="2380" xr:uid="{00000000-0005-0000-0000-00004D090000}"/>
    <cellStyle name="Normal 3 2 36" xfId="2381" xr:uid="{00000000-0005-0000-0000-00004E090000}"/>
    <cellStyle name="Normal 3 2 37" xfId="2382" xr:uid="{00000000-0005-0000-0000-00004F090000}"/>
    <cellStyle name="Normal 3 2 38" xfId="2383" xr:uid="{00000000-0005-0000-0000-000050090000}"/>
    <cellStyle name="Normal 3 2 39" xfId="2384" xr:uid="{00000000-0005-0000-0000-000051090000}"/>
    <cellStyle name="Normal 3 2 4" xfId="2385" xr:uid="{00000000-0005-0000-0000-000052090000}"/>
    <cellStyle name="Normal 3 2 40" xfId="2386" xr:uid="{00000000-0005-0000-0000-000053090000}"/>
    <cellStyle name="Normal 3 2 41" xfId="2387" xr:uid="{00000000-0005-0000-0000-000054090000}"/>
    <cellStyle name="Normal 3 2 42" xfId="2388" xr:uid="{00000000-0005-0000-0000-000055090000}"/>
    <cellStyle name="Normal 3 2 43" xfId="2389" xr:uid="{00000000-0005-0000-0000-000056090000}"/>
    <cellStyle name="Normal 3 2 44" xfId="2390" xr:uid="{00000000-0005-0000-0000-000057090000}"/>
    <cellStyle name="Normal 3 2 45" xfId="2391" xr:uid="{00000000-0005-0000-0000-000058090000}"/>
    <cellStyle name="Normal 3 2 46" xfId="2392" xr:uid="{00000000-0005-0000-0000-000059090000}"/>
    <cellStyle name="Normal 3 2 5" xfId="2393" xr:uid="{00000000-0005-0000-0000-00005A090000}"/>
    <cellStyle name="Normal 3 2 5 2" xfId="2394" xr:uid="{00000000-0005-0000-0000-00005B090000}"/>
    <cellStyle name="Normal 3 2 5_Gui Ha" xfId="2395" xr:uid="{00000000-0005-0000-0000-00005C090000}"/>
    <cellStyle name="Normal 3 2 6" xfId="2396" xr:uid="{00000000-0005-0000-0000-00005D090000}"/>
    <cellStyle name="Normal 3 2 7" xfId="2397" xr:uid="{00000000-0005-0000-0000-00005E090000}"/>
    <cellStyle name="Normal 3 2 8" xfId="2398" xr:uid="{00000000-0005-0000-0000-00005F090000}"/>
    <cellStyle name="Normal 3 2 9" xfId="2399" xr:uid="{00000000-0005-0000-0000-000060090000}"/>
    <cellStyle name="Normal 3 2_Budget 2009-Plan B-Final" xfId="2400" xr:uid="{00000000-0005-0000-0000-000061090000}"/>
    <cellStyle name="Normal 3 20" xfId="2401" xr:uid="{00000000-0005-0000-0000-000062090000}"/>
    <cellStyle name="Normal 3 21" xfId="2402" xr:uid="{00000000-0005-0000-0000-000063090000}"/>
    <cellStyle name="Normal 3 22" xfId="2403" xr:uid="{00000000-0005-0000-0000-000064090000}"/>
    <cellStyle name="Normal 3 23" xfId="2404" xr:uid="{00000000-0005-0000-0000-000065090000}"/>
    <cellStyle name="Normal 3 24" xfId="2405" xr:uid="{00000000-0005-0000-0000-000066090000}"/>
    <cellStyle name="Normal 3 25" xfId="2406" xr:uid="{00000000-0005-0000-0000-000067090000}"/>
    <cellStyle name="Normal 3 26" xfId="2407" xr:uid="{00000000-0005-0000-0000-000068090000}"/>
    <cellStyle name="Normal 3 27" xfId="2408" xr:uid="{00000000-0005-0000-0000-000069090000}"/>
    <cellStyle name="Normal 3 27 2" xfId="2409" xr:uid="{00000000-0005-0000-0000-00006A090000}"/>
    <cellStyle name="Normal 3 27 3" xfId="2410" xr:uid="{00000000-0005-0000-0000-00006B090000}"/>
    <cellStyle name="Normal 3 27_Gui Ha" xfId="2411" xr:uid="{00000000-0005-0000-0000-00006C090000}"/>
    <cellStyle name="Normal 3 28" xfId="2412" xr:uid="{00000000-0005-0000-0000-00006D090000}"/>
    <cellStyle name="Normal 3 28 2" xfId="2413" xr:uid="{00000000-0005-0000-0000-00006E090000}"/>
    <cellStyle name="Normal 3 28 3" xfId="2414" xr:uid="{00000000-0005-0000-0000-00006F090000}"/>
    <cellStyle name="Normal 3 28_Gui Ha" xfId="2415" xr:uid="{00000000-0005-0000-0000-000070090000}"/>
    <cellStyle name="Normal 3 29" xfId="2416" xr:uid="{00000000-0005-0000-0000-000071090000}"/>
    <cellStyle name="Normal 3 29 2" xfId="2417" xr:uid="{00000000-0005-0000-0000-000072090000}"/>
    <cellStyle name="Normal 3 29 2 2" xfId="2418" xr:uid="{00000000-0005-0000-0000-000073090000}"/>
    <cellStyle name="Normal 3 29 2_Gui Ha" xfId="2419" xr:uid="{00000000-0005-0000-0000-000074090000}"/>
    <cellStyle name="Normal 3 29 3" xfId="2420" xr:uid="{00000000-0005-0000-0000-000075090000}"/>
    <cellStyle name="Normal 3 29_Fsoft Finance Report 0809 Template" xfId="2421" xr:uid="{00000000-0005-0000-0000-000076090000}"/>
    <cellStyle name="Normal 3 3" xfId="2422" xr:uid="{00000000-0005-0000-0000-000077090000}"/>
    <cellStyle name="Normal 3 3 2" xfId="2423" xr:uid="{00000000-0005-0000-0000-000078090000}"/>
    <cellStyle name="Normal 3 30" xfId="2424" xr:uid="{00000000-0005-0000-0000-000079090000}"/>
    <cellStyle name="Normal 3 31" xfId="2425" xr:uid="{00000000-0005-0000-0000-00007A090000}"/>
    <cellStyle name="Normal 3 32" xfId="2426" xr:uid="{00000000-0005-0000-0000-00007B090000}"/>
    <cellStyle name="Normal 3 33" xfId="2427" xr:uid="{00000000-0005-0000-0000-00007C090000}"/>
    <cellStyle name="Normal 3 34" xfId="2428" xr:uid="{00000000-0005-0000-0000-00007D090000}"/>
    <cellStyle name="Normal 3 35" xfId="2429" xr:uid="{00000000-0005-0000-0000-00007E090000}"/>
    <cellStyle name="Normal 3 36" xfId="2430" xr:uid="{00000000-0005-0000-0000-00007F090000}"/>
    <cellStyle name="Normal 3 37" xfId="2431" xr:uid="{00000000-0005-0000-0000-000080090000}"/>
    <cellStyle name="Normal 3 38" xfId="2432" xr:uid="{00000000-0005-0000-0000-000081090000}"/>
    <cellStyle name="Normal 3 39" xfId="2433" xr:uid="{00000000-0005-0000-0000-000082090000}"/>
    <cellStyle name="Normal 3 4" xfId="2434" xr:uid="{00000000-0005-0000-0000-000083090000}"/>
    <cellStyle name="Normal 3 40" xfId="2435" xr:uid="{00000000-0005-0000-0000-000084090000}"/>
    <cellStyle name="Normal 3 41" xfId="2436" xr:uid="{00000000-0005-0000-0000-000085090000}"/>
    <cellStyle name="Normal 3 42" xfId="2437" xr:uid="{00000000-0005-0000-0000-000086090000}"/>
    <cellStyle name="Normal 3 43" xfId="2438" xr:uid="{00000000-0005-0000-0000-000087090000}"/>
    <cellStyle name="Normal 3 44" xfId="2439" xr:uid="{00000000-0005-0000-0000-000088090000}"/>
    <cellStyle name="Normal 3 45" xfId="2440" xr:uid="{00000000-0005-0000-0000-000089090000}"/>
    <cellStyle name="Normal 3 46" xfId="2441" xr:uid="{00000000-0005-0000-0000-00008A090000}"/>
    <cellStyle name="Normal 3 47" xfId="2442" xr:uid="{00000000-0005-0000-0000-00008B090000}"/>
    <cellStyle name="Normal 3 48" xfId="2443" xr:uid="{00000000-0005-0000-0000-00008C090000}"/>
    <cellStyle name="Normal 3 49" xfId="2444" xr:uid="{00000000-0005-0000-0000-00008D090000}"/>
    <cellStyle name="Normal 3 5" xfId="2445" xr:uid="{00000000-0005-0000-0000-00008E090000}"/>
    <cellStyle name="Normal 3 50" xfId="2446" xr:uid="{00000000-0005-0000-0000-00008F090000}"/>
    <cellStyle name="Normal 3 51" xfId="2447" xr:uid="{00000000-0005-0000-0000-000090090000}"/>
    <cellStyle name="Normal 3 52" xfId="2448" xr:uid="{00000000-0005-0000-0000-000091090000}"/>
    <cellStyle name="Normal 3 53" xfId="2449" xr:uid="{00000000-0005-0000-0000-000092090000}"/>
    <cellStyle name="Normal 3 54" xfId="2450" xr:uid="{00000000-0005-0000-0000-000093090000}"/>
    <cellStyle name="Normal 3 55" xfId="2451" xr:uid="{00000000-0005-0000-0000-000094090000}"/>
    <cellStyle name="Normal 3 56" xfId="2452" xr:uid="{00000000-0005-0000-0000-000095090000}"/>
    <cellStyle name="Normal 3 57" xfId="2453" xr:uid="{00000000-0005-0000-0000-000096090000}"/>
    <cellStyle name="Normal 3 58" xfId="2454" xr:uid="{00000000-0005-0000-0000-000097090000}"/>
    <cellStyle name="Normal 3 59" xfId="2455" xr:uid="{00000000-0005-0000-0000-000098090000}"/>
    <cellStyle name="Normal 3 6" xfId="2456" xr:uid="{00000000-0005-0000-0000-000099090000}"/>
    <cellStyle name="Normal 3 60" xfId="2457" xr:uid="{00000000-0005-0000-0000-00009A090000}"/>
    <cellStyle name="Normal 3 61" xfId="2458" xr:uid="{00000000-0005-0000-0000-00009B090000}"/>
    <cellStyle name="Normal 3 62" xfId="2459" xr:uid="{00000000-0005-0000-0000-00009C090000}"/>
    <cellStyle name="Normal 3 63" xfId="2460" xr:uid="{00000000-0005-0000-0000-00009D090000}"/>
    <cellStyle name="Normal 3 64" xfId="2461" xr:uid="{00000000-0005-0000-0000-00009E090000}"/>
    <cellStyle name="Normal 3 65" xfId="2462" xr:uid="{00000000-0005-0000-0000-00009F090000}"/>
    <cellStyle name="Normal 3 66" xfId="2463" xr:uid="{00000000-0005-0000-0000-0000A0090000}"/>
    <cellStyle name="Normal 3 67" xfId="2464" xr:uid="{00000000-0005-0000-0000-0000A1090000}"/>
    <cellStyle name="Normal 3 68" xfId="2465" xr:uid="{00000000-0005-0000-0000-0000A2090000}"/>
    <cellStyle name="Normal 3 69" xfId="2466" xr:uid="{00000000-0005-0000-0000-0000A3090000}"/>
    <cellStyle name="Normal 3 7" xfId="2467" xr:uid="{00000000-0005-0000-0000-0000A4090000}"/>
    <cellStyle name="Normal 3 70" xfId="2468" xr:uid="{00000000-0005-0000-0000-0000A5090000}"/>
    <cellStyle name="Normal 3 71" xfId="2469" xr:uid="{00000000-0005-0000-0000-0000A6090000}"/>
    <cellStyle name="Normal 3 72" xfId="2470" xr:uid="{00000000-0005-0000-0000-0000A7090000}"/>
    <cellStyle name="Normal 3 73" xfId="2471" xr:uid="{00000000-0005-0000-0000-0000A8090000}"/>
    <cellStyle name="Normal 3 74" xfId="2472" xr:uid="{00000000-0005-0000-0000-0000A9090000}"/>
    <cellStyle name="Normal 3 75" xfId="2473" xr:uid="{00000000-0005-0000-0000-0000AA090000}"/>
    <cellStyle name="Normal 3 75 2" xfId="2474" xr:uid="{00000000-0005-0000-0000-0000AB090000}"/>
    <cellStyle name="Normal 3 76" xfId="2475" xr:uid="{00000000-0005-0000-0000-0000AC090000}"/>
    <cellStyle name="Normal 3 8" xfId="2476" xr:uid="{00000000-0005-0000-0000-0000AD090000}"/>
    <cellStyle name="Normal 3 9" xfId="2477" xr:uid="{00000000-0005-0000-0000-0000AE090000}"/>
    <cellStyle name="Normal 3_PM T9 -revised Q3 1.0.xls-adjust G11+FSJ" xfId="2478" xr:uid="{00000000-0005-0000-0000-0000AF090000}"/>
    <cellStyle name="Normal 30" xfId="2479" xr:uid="{00000000-0005-0000-0000-0000B0090000}"/>
    <cellStyle name="Normal 30 2" xfId="2480" xr:uid="{00000000-0005-0000-0000-0000B1090000}"/>
    <cellStyle name="Normal 31" xfId="2481" xr:uid="{00000000-0005-0000-0000-0000B2090000}"/>
    <cellStyle name="Normal 32" xfId="2482" xr:uid="{00000000-0005-0000-0000-0000B3090000}"/>
    <cellStyle name="Normal 33" xfId="2483" xr:uid="{00000000-0005-0000-0000-0000B4090000}"/>
    <cellStyle name="Normal 34" xfId="2484" xr:uid="{00000000-0005-0000-0000-0000B5090000}"/>
    <cellStyle name="Normal 34 2" xfId="2485" xr:uid="{00000000-0005-0000-0000-0000B6090000}"/>
    <cellStyle name="Normal 35" xfId="2486" xr:uid="{00000000-0005-0000-0000-0000B7090000}"/>
    <cellStyle name="Normal 35 2" xfId="2487" xr:uid="{00000000-0005-0000-0000-0000B8090000}"/>
    <cellStyle name="Normal 35 2 2" xfId="2488" xr:uid="{00000000-0005-0000-0000-0000B9090000}"/>
    <cellStyle name="Normal 35 2_Fsoft Finance Report 0809 Template" xfId="2489" xr:uid="{00000000-0005-0000-0000-0000BA090000}"/>
    <cellStyle name="Normal 35 3" xfId="2490" xr:uid="{00000000-0005-0000-0000-0000BB090000}"/>
    <cellStyle name="Normal 35 4" xfId="2491" xr:uid="{00000000-0005-0000-0000-0000BC090000}"/>
    <cellStyle name="Normal 35 5" xfId="2492" xr:uid="{00000000-0005-0000-0000-0000BD090000}"/>
    <cellStyle name="Normal 35 6" xfId="2493" xr:uid="{00000000-0005-0000-0000-0000BE090000}"/>
    <cellStyle name="Normal 35_Fsoft Finance Report 0809 V0.9" xfId="2494" xr:uid="{00000000-0005-0000-0000-0000BF090000}"/>
    <cellStyle name="Normal 36" xfId="2495" xr:uid="{00000000-0005-0000-0000-0000C0090000}"/>
    <cellStyle name="Normal 37" xfId="2496" xr:uid="{00000000-0005-0000-0000-0000C1090000}"/>
    <cellStyle name="Normal 38" xfId="2497" xr:uid="{00000000-0005-0000-0000-0000C2090000}"/>
    <cellStyle name="Normal 39" xfId="2498" xr:uid="{00000000-0005-0000-0000-0000C3090000}"/>
    <cellStyle name="Normal 4" xfId="2499" xr:uid="{00000000-0005-0000-0000-0000C4090000}"/>
    <cellStyle name="Normal 4 2" xfId="2500" xr:uid="{00000000-0005-0000-0000-0000C5090000}"/>
    <cellStyle name="Normal 4 2 2" xfId="2501" xr:uid="{00000000-0005-0000-0000-0000C6090000}"/>
    <cellStyle name="Normal 4 3" xfId="2502" xr:uid="{00000000-0005-0000-0000-0000C7090000}"/>
    <cellStyle name="Normal 40" xfId="2503" xr:uid="{00000000-0005-0000-0000-0000C8090000}"/>
    <cellStyle name="Normal 41" xfId="2504" xr:uid="{00000000-0005-0000-0000-0000C9090000}"/>
    <cellStyle name="Normal 42" xfId="2505" xr:uid="{00000000-0005-0000-0000-0000CA090000}"/>
    <cellStyle name="Normal 43" xfId="2506" xr:uid="{00000000-0005-0000-0000-0000CB090000}"/>
    <cellStyle name="Normal 44" xfId="2507" xr:uid="{00000000-0005-0000-0000-0000CC090000}"/>
    <cellStyle name="Normal 45" xfId="2508" xr:uid="{00000000-0005-0000-0000-0000CD090000}"/>
    <cellStyle name="Normal 46" xfId="2509" xr:uid="{00000000-0005-0000-0000-0000CE090000}"/>
    <cellStyle name="Normal 47" xfId="2510" xr:uid="{00000000-0005-0000-0000-0000CF090000}"/>
    <cellStyle name="Normal 48" xfId="2511" xr:uid="{00000000-0005-0000-0000-0000D0090000}"/>
    <cellStyle name="Normal 49" xfId="2512" xr:uid="{00000000-0005-0000-0000-0000D1090000}"/>
    <cellStyle name="Normal 5" xfId="2513" xr:uid="{00000000-0005-0000-0000-0000D2090000}"/>
    <cellStyle name="Normal 5 2" xfId="2514" xr:uid="{00000000-0005-0000-0000-0000D3090000}"/>
    <cellStyle name="Normal 5 3" xfId="2515" xr:uid="{00000000-0005-0000-0000-0000D4090000}"/>
    <cellStyle name="Normal 5_Fsoft Finance Report 1109 Template" xfId="2516" xr:uid="{00000000-0005-0000-0000-0000D5090000}"/>
    <cellStyle name="Normal 50" xfId="2517" xr:uid="{00000000-0005-0000-0000-0000D6090000}"/>
    <cellStyle name="Normal 51" xfId="2518" xr:uid="{00000000-0005-0000-0000-0000D7090000}"/>
    <cellStyle name="Normal 52" xfId="2519" xr:uid="{00000000-0005-0000-0000-0000D8090000}"/>
    <cellStyle name="Normal 53" xfId="2520" xr:uid="{00000000-0005-0000-0000-0000D9090000}"/>
    <cellStyle name="Normal 54" xfId="2521" xr:uid="{00000000-0005-0000-0000-0000DA090000}"/>
    <cellStyle name="Normal 55" xfId="2522" xr:uid="{00000000-0005-0000-0000-0000DB090000}"/>
    <cellStyle name="Normal 56" xfId="2523" xr:uid="{00000000-0005-0000-0000-0000DC090000}"/>
    <cellStyle name="Normal 57" xfId="2524" xr:uid="{00000000-0005-0000-0000-0000DD090000}"/>
    <cellStyle name="Normal 58" xfId="2525" xr:uid="{00000000-0005-0000-0000-0000DE090000}"/>
    <cellStyle name="Normal 6" xfId="2526" xr:uid="{00000000-0005-0000-0000-0000DF090000}"/>
    <cellStyle name="Normal 6 10" xfId="2527" xr:uid="{00000000-0005-0000-0000-0000E0090000}"/>
    <cellStyle name="Normal 6 11" xfId="2528" xr:uid="{00000000-0005-0000-0000-0000E1090000}"/>
    <cellStyle name="Normal 6 12" xfId="2529" xr:uid="{00000000-0005-0000-0000-0000E2090000}"/>
    <cellStyle name="Normal 6 13" xfId="2530" xr:uid="{00000000-0005-0000-0000-0000E3090000}"/>
    <cellStyle name="Normal 6 14" xfId="2531" xr:uid="{00000000-0005-0000-0000-0000E4090000}"/>
    <cellStyle name="Normal 6 15" xfId="2532" xr:uid="{00000000-0005-0000-0000-0000E5090000}"/>
    <cellStyle name="Normal 6 16" xfId="2533" xr:uid="{00000000-0005-0000-0000-0000E6090000}"/>
    <cellStyle name="Normal 6 17" xfId="2534" xr:uid="{00000000-0005-0000-0000-0000E7090000}"/>
    <cellStyle name="Normal 6 18" xfId="2535" xr:uid="{00000000-0005-0000-0000-0000E8090000}"/>
    <cellStyle name="Normal 6 19" xfId="2536" xr:uid="{00000000-0005-0000-0000-0000E9090000}"/>
    <cellStyle name="Normal 6 2" xfId="2537" xr:uid="{00000000-0005-0000-0000-0000EA090000}"/>
    <cellStyle name="Normal 6 20" xfId="2538" xr:uid="{00000000-0005-0000-0000-0000EB090000}"/>
    <cellStyle name="Normal 6 21" xfId="2539" xr:uid="{00000000-0005-0000-0000-0000EC090000}"/>
    <cellStyle name="Normal 6 22" xfId="2540" xr:uid="{00000000-0005-0000-0000-0000ED090000}"/>
    <cellStyle name="Normal 6 23" xfId="2541" xr:uid="{00000000-0005-0000-0000-0000EE090000}"/>
    <cellStyle name="Normal 6 24" xfId="2542" xr:uid="{00000000-0005-0000-0000-0000EF090000}"/>
    <cellStyle name="Normal 6 25" xfId="2543" xr:uid="{00000000-0005-0000-0000-0000F0090000}"/>
    <cellStyle name="Normal 6 26" xfId="2544" xr:uid="{00000000-0005-0000-0000-0000F1090000}"/>
    <cellStyle name="Normal 6 27" xfId="2545" xr:uid="{00000000-0005-0000-0000-0000F2090000}"/>
    <cellStyle name="Normal 6 28" xfId="2546" xr:uid="{00000000-0005-0000-0000-0000F3090000}"/>
    <cellStyle name="Normal 6 29" xfId="2547" xr:uid="{00000000-0005-0000-0000-0000F4090000}"/>
    <cellStyle name="Normal 6 3" xfId="2548" xr:uid="{00000000-0005-0000-0000-0000F5090000}"/>
    <cellStyle name="Normal 6 30" xfId="2549" xr:uid="{00000000-0005-0000-0000-0000F6090000}"/>
    <cellStyle name="Normal 6 31" xfId="2550" xr:uid="{00000000-0005-0000-0000-0000F7090000}"/>
    <cellStyle name="Normal 6 32" xfId="2551" xr:uid="{00000000-0005-0000-0000-0000F8090000}"/>
    <cellStyle name="Normal 6 33" xfId="2552" xr:uid="{00000000-0005-0000-0000-0000F9090000}"/>
    <cellStyle name="Normal 6 34" xfId="2553" xr:uid="{00000000-0005-0000-0000-0000FA090000}"/>
    <cellStyle name="Normal 6 35" xfId="2554" xr:uid="{00000000-0005-0000-0000-0000FB090000}"/>
    <cellStyle name="Normal 6 36" xfId="2555" xr:uid="{00000000-0005-0000-0000-0000FC090000}"/>
    <cellStyle name="Normal 6 37" xfId="2556" xr:uid="{00000000-0005-0000-0000-0000FD090000}"/>
    <cellStyle name="Normal 6 38" xfId="2557" xr:uid="{00000000-0005-0000-0000-0000FE090000}"/>
    <cellStyle name="Normal 6 39" xfId="2558" xr:uid="{00000000-0005-0000-0000-0000FF090000}"/>
    <cellStyle name="Normal 6 4" xfId="2559" xr:uid="{00000000-0005-0000-0000-0000000A0000}"/>
    <cellStyle name="Normal 6 40" xfId="2560" xr:uid="{00000000-0005-0000-0000-0000010A0000}"/>
    <cellStyle name="Normal 6 41" xfId="2561" xr:uid="{00000000-0005-0000-0000-0000020A0000}"/>
    <cellStyle name="Normal 6 42" xfId="2562" xr:uid="{00000000-0005-0000-0000-0000030A0000}"/>
    <cellStyle name="Normal 6 43" xfId="2563" xr:uid="{00000000-0005-0000-0000-0000040A0000}"/>
    <cellStyle name="Normal 6 44" xfId="2564" xr:uid="{00000000-0005-0000-0000-0000050A0000}"/>
    <cellStyle name="Normal 6 45" xfId="2565" xr:uid="{00000000-0005-0000-0000-0000060A0000}"/>
    <cellStyle name="Normal 6 46" xfId="2566" xr:uid="{00000000-0005-0000-0000-0000070A0000}"/>
    <cellStyle name="Normal 6 5" xfId="2567" xr:uid="{00000000-0005-0000-0000-0000080A0000}"/>
    <cellStyle name="Normal 6 6" xfId="2568" xr:uid="{00000000-0005-0000-0000-0000090A0000}"/>
    <cellStyle name="Normal 6 7" xfId="2569" xr:uid="{00000000-0005-0000-0000-00000A0A0000}"/>
    <cellStyle name="Normal 6 8" xfId="2570" xr:uid="{00000000-0005-0000-0000-00000B0A0000}"/>
    <cellStyle name="Normal 6 9" xfId="2571" xr:uid="{00000000-0005-0000-0000-00000C0A0000}"/>
    <cellStyle name="Normal 6_Fsoft Finance Report 1109 Template" xfId="2572" xr:uid="{00000000-0005-0000-0000-00000D0A0000}"/>
    <cellStyle name="Normal 7" xfId="2573" xr:uid="{00000000-0005-0000-0000-00000E0A0000}"/>
    <cellStyle name="Normal 8" xfId="2574" xr:uid="{00000000-0005-0000-0000-00000F0A0000}"/>
    <cellStyle name="Normal 8 2" xfId="2575" xr:uid="{00000000-0005-0000-0000-0000100A0000}"/>
    <cellStyle name="Normal 8 3" xfId="2576" xr:uid="{00000000-0005-0000-0000-0000110A0000}"/>
    <cellStyle name="Normal 8 4" xfId="2577" xr:uid="{00000000-0005-0000-0000-0000120A0000}"/>
    <cellStyle name="Normal 8 5" xfId="2578" xr:uid="{00000000-0005-0000-0000-0000130A0000}"/>
    <cellStyle name="Normal 8 6" xfId="2579" xr:uid="{00000000-0005-0000-0000-0000140A0000}"/>
    <cellStyle name="Normal 8 7" xfId="2580" xr:uid="{00000000-0005-0000-0000-0000150A0000}"/>
    <cellStyle name="Normal 8 8" xfId="2581" xr:uid="{00000000-0005-0000-0000-0000160A0000}"/>
    <cellStyle name="Normal 8 9" xfId="2582" xr:uid="{00000000-0005-0000-0000-0000170A0000}"/>
    <cellStyle name="Normal 9" xfId="2583" xr:uid="{00000000-0005-0000-0000-0000180A0000}"/>
    <cellStyle name="Normal_Guideline_Process tailoring" xfId="2584" xr:uid="{00000000-0005-0000-0000-0000190A0000}"/>
    <cellStyle name="Normal1" xfId="2585" xr:uid="{00000000-0005-0000-0000-00001A0A0000}"/>
    <cellStyle name="Normalny_Cennik obowiazuje od 06-08-2001 r (1)" xfId="2586" xr:uid="{00000000-0005-0000-0000-00001B0A0000}"/>
    <cellStyle name="Note 10" xfId="2587" xr:uid="{00000000-0005-0000-0000-00001C0A0000}"/>
    <cellStyle name="Note 11" xfId="2588" xr:uid="{00000000-0005-0000-0000-00001D0A0000}"/>
    <cellStyle name="Note 12" xfId="2589" xr:uid="{00000000-0005-0000-0000-00001E0A0000}"/>
    <cellStyle name="Note 13" xfId="2590" xr:uid="{00000000-0005-0000-0000-00001F0A0000}"/>
    <cellStyle name="Note 2" xfId="2591" xr:uid="{00000000-0005-0000-0000-0000200A0000}"/>
    <cellStyle name="Note 2 2" xfId="2592" xr:uid="{00000000-0005-0000-0000-0000210A0000}"/>
    <cellStyle name="Note 2 3" xfId="2593" xr:uid="{00000000-0005-0000-0000-0000220A0000}"/>
    <cellStyle name="Note 3" xfId="2594" xr:uid="{00000000-0005-0000-0000-0000230A0000}"/>
    <cellStyle name="Note 4" xfId="2595" xr:uid="{00000000-0005-0000-0000-0000240A0000}"/>
    <cellStyle name="Note 5" xfId="2596" xr:uid="{00000000-0005-0000-0000-0000250A0000}"/>
    <cellStyle name="Note 6" xfId="2597" xr:uid="{00000000-0005-0000-0000-0000260A0000}"/>
    <cellStyle name="Note 7" xfId="2598" xr:uid="{00000000-0005-0000-0000-0000270A0000}"/>
    <cellStyle name="Note 8" xfId="2599" xr:uid="{00000000-0005-0000-0000-0000280A0000}"/>
    <cellStyle name="Note 9" xfId="2600" xr:uid="{00000000-0005-0000-0000-0000290A0000}"/>
    <cellStyle name="Output 10" xfId="2601" xr:uid="{00000000-0005-0000-0000-00002A0A0000}"/>
    <cellStyle name="Output 11" xfId="2602" xr:uid="{00000000-0005-0000-0000-00002B0A0000}"/>
    <cellStyle name="Output 12" xfId="2603" xr:uid="{00000000-0005-0000-0000-00002C0A0000}"/>
    <cellStyle name="Output 13" xfId="2604" xr:uid="{00000000-0005-0000-0000-00002D0A0000}"/>
    <cellStyle name="Output 2" xfId="2605" xr:uid="{00000000-0005-0000-0000-00002E0A0000}"/>
    <cellStyle name="Output 2 2" xfId="2606" xr:uid="{00000000-0005-0000-0000-00002F0A0000}"/>
    <cellStyle name="Output 2 3" xfId="2607" xr:uid="{00000000-0005-0000-0000-0000300A0000}"/>
    <cellStyle name="Output 3" xfId="2608" xr:uid="{00000000-0005-0000-0000-0000310A0000}"/>
    <cellStyle name="Output 4" xfId="2609" xr:uid="{00000000-0005-0000-0000-0000320A0000}"/>
    <cellStyle name="Output 5" xfId="2610" xr:uid="{00000000-0005-0000-0000-0000330A0000}"/>
    <cellStyle name="Output 6" xfId="2611" xr:uid="{00000000-0005-0000-0000-0000340A0000}"/>
    <cellStyle name="Output 7" xfId="2612" xr:uid="{00000000-0005-0000-0000-0000350A0000}"/>
    <cellStyle name="Output 8" xfId="2613" xr:uid="{00000000-0005-0000-0000-0000360A0000}"/>
    <cellStyle name="Output 9" xfId="2614" xr:uid="{00000000-0005-0000-0000-0000370A0000}"/>
    <cellStyle name="pe" xfId="2615" xr:uid="{00000000-0005-0000-0000-0000380A0000}"/>
    <cellStyle name="PEG" xfId="2616" xr:uid="{00000000-0005-0000-0000-0000390A0000}"/>
    <cellStyle name="Percent" xfId="2617" builtinId="5"/>
    <cellStyle name="Percent [2]" xfId="2618" xr:uid="{00000000-0005-0000-0000-00003B0A0000}"/>
    <cellStyle name="Percent [2] 2" xfId="2619" xr:uid="{00000000-0005-0000-0000-00003C0A0000}"/>
    <cellStyle name="Percent [2] 3" xfId="2620" xr:uid="{00000000-0005-0000-0000-00003D0A0000}"/>
    <cellStyle name="Percent 10" xfId="2621" xr:uid="{00000000-0005-0000-0000-00003E0A0000}"/>
    <cellStyle name="Percent 10 2" xfId="2622" xr:uid="{00000000-0005-0000-0000-00003F0A0000}"/>
    <cellStyle name="Percent 11" xfId="2623" xr:uid="{00000000-0005-0000-0000-0000400A0000}"/>
    <cellStyle name="Percent 12" xfId="2624" xr:uid="{00000000-0005-0000-0000-0000410A0000}"/>
    <cellStyle name="Percent 13" xfId="2625" xr:uid="{00000000-0005-0000-0000-0000420A0000}"/>
    <cellStyle name="Percent 14" xfId="2626" xr:uid="{00000000-0005-0000-0000-0000430A0000}"/>
    <cellStyle name="Percent 15" xfId="2627" xr:uid="{00000000-0005-0000-0000-0000440A0000}"/>
    <cellStyle name="Percent 16" xfId="2628" xr:uid="{00000000-0005-0000-0000-0000450A0000}"/>
    <cellStyle name="Percent 17" xfId="2629" xr:uid="{00000000-0005-0000-0000-0000460A0000}"/>
    <cellStyle name="Percent 18" xfId="2630" xr:uid="{00000000-0005-0000-0000-0000470A0000}"/>
    <cellStyle name="Percent 19" xfId="2631" xr:uid="{00000000-0005-0000-0000-0000480A0000}"/>
    <cellStyle name="Percent 2" xfId="2632" xr:uid="{00000000-0005-0000-0000-0000490A0000}"/>
    <cellStyle name="Percent 2 10" xfId="2633" xr:uid="{00000000-0005-0000-0000-00004A0A0000}"/>
    <cellStyle name="Percent 2 10 2" xfId="2634" xr:uid="{00000000-0005-0000-0000-00004B0A0000}"/>
    <cellStyle name="Percent 2 10 2 2" xfId="2635" xr:uid="{00000000-0005-0000-0000-00004C0A0000}"/>
    <cellStyle name="Percent 2 10 2 2 2" xfId="2636" xr:uid="{00000000-0005-0000-0000-00004D0A0000}"/>
    <cellStyle name="Percent 2 10 2 2 3" xfId="2637" xr:uid="{00000000-0005-0000-0000-00004E0A0000}"/>
    <cellStyle name="Percent 2 10 2 3" xfId="2638" xr:uid="{00000000-0005-0000-0000-00004F0A0000}"/>
    <cellStyle name="Percent 2 10 3" xfId="2639" xr:uid="{00000000-0005-0000-0000-0000500A0000}"/>
    <cellStyle name="Percent 2 10 4" xfId="2640" xr:uid="{00000000-0005-0000-0000-0000510A0000}"/>
    <cellStyle name="Percent 2 11" xfId="2641" xr:uid="{00000000-0005-0000-0000-0000520A0000}"/>
    <cellStyle name="Percent 2 11 2" xfId="2642" xr:uid="{00000000-0005-0000-0000-0000530A0000}"/>
    <cellStyle name="Percent 2 11 2 2" xfId="2643" xr:uid="{00000000-0005-0000-0000-0000540A0000}"/>
    <cellStyle name="Percent 2 11 2 2 2" xfId="2644" xr:uid="{00000000-0005-0000-0000-0000550A0000}"/>
    <cellStyle name="Percent 2 11 2 2 3" xfId="2645" xr:uid="{00000000-0005-0000-0000-0000560A0000}"/>
    <cellStyle name="Percent 2 11 2 3" xfId="2646" xr:uid="{00000000-0005-0000-0000-0000570A0000}"/>
    <cellStyle name="Percent 2 11 3" xfId="2647" xr:uid="{00000000-0005-0000-0000-0000580A0000}"/>
    <cellStyle name="Percent 2 11 4" xfId="2648" xr:uid="{00000000-0005-0000-0000-0000590A0000}"/>
    <cellStyle name="Percent 2 12" xfId="2649" xr:uid="{00000000-0005-0000-0000-00005A0A0000}"/>
    <cellStyle name="Percent 2 12 2" xfId="2650" xr:uid="{00000000-0005-0000-0000-00005B0A0000}"/>
    <cellStyle name="Percent 2 12 2 2" xfId="2651" xr:uid="{00000000-0005-0000-0000-00005C0A0000}"/>
    <cellStyle name="Percent 2 12 2 2 2" xfId="2652" xr:uid="{00000000-0005-0000-0000-00005D0A0000}"/>
    <cellStyle name="Percent 2 12 2 2 3" xfId="2653" xr:uid="{00000000-0005-0000-0000-00005E0A0000}"/>
    <cellStyle name="Percent 2 12 2 3" xfId="2654" xr:uid="{00000000-0005-0000-0000-00005F0A0000}"/>
    <cellStyle name="Percent 2 12 3" xfId="2655" xr:uid="{00000000-0005-0000-0000-0000600A0000}"/>
    <cellStyle name="Percent 2 12 4" xfId="2656" xr:uid="{00000000-0005-0000-0000-0000610A0000}"/>
    <cellStyle name="Percent 2 13" xfId="2657" xr:uid="{00000000-0005-0000-0000-0000620A0000}"/>
    <cellStyle name="Percent 2 13 2" xfId="2658" xr:uid="{00000000-0005-0000-0000-0000630A0000}"/>
    <cellStyle name="Percent 2 13 2 2" xfId="2659" xr:uid="{00000000-0005-0000-0000-0000640A0000}"/>
    <cellStyle name="Percent 2 13 2 2 2" xfId="2660" xr:uid="{00000000-0005-0000-0000-0000650A0000}"/>
    <cellStyle name="Percent 2 13 2 2 3" xfId="2661" xr:uid="{00000000-0005-0000-0000-0000660A0000}"/>
    <cellStyle name="Percent 2 13 2 3" xfId="2662" xr:uid="{00000000-0005-0000-0000-0000670A0000}"/>
    <cellStyle name="Percent 2 13 3" xfId="2663" xr:uid="{00000000-0005-0000-0000-0000680A0000}"/>
    <cellStyle name="Percent 2 13 4" xfId="2664" xr:uid="{00000000-0005-0000-0000-0000690A0000}"/>
    <cellStyle name="Percent 2 14" xfId="2665" xr:uid="{00000000-0005-0000-0000-00006A0A0000}"/>
    <cellStyle name="Percent 2 14 2" xfId="2666" xr:uid="{00000000-0005-0000-0000-00006B0A0000}"/>
    <cellStyle name="Percent 2 14 2 2" xfId="2667" xr:uid="{00000000-0005-0000-0000-00006C0A0000}"/>
    <cellStyle name="Percent 2 14 2 2 2" xfId="2668" xr:uid="{00000000-0005-0000-0000-00006D0A0000}"/>
    <cellStyle name="Percent 2 14 2 2 3" xfId="2669" xr:uid="{00000000-0005-0000-0000-00006E0A0000}"/>
    <cellStyle name="Percent 2 14 2 3" xfId="2670" xr:uid="{00000000-0005-0000-0000-00006F0A0000}"/>
    <cellStyle name="Percent 2 14 3" xfId="2671" xr:uid="{00000000-0005-0000-0000-0000700A0000}"/>
    <cellStyle name="Percent 2 14 4" xfId="2672" xr:uid="{00000000-0005-0000-0000-0000710A0000}"/>
    <cellStyle name="Percent 2 15" xfId="2673" xr:uid="{00000000-0005-0000-0000-0000720A0000}"/>
    <cellStyle name="Percent 2 15 2" xfId="2674" xr:uid="{00000000-0005-0000-0000-0000730A0000}"/>
    <cellStyle name="Percent 2 15 2 2" xfId="2675" xr:uid="{00000000-0005-0000-0000-0000740A0000}"/>
    <cellStyle name="Percent 2 15 2 2 2" xfId="2676" xr:uid="{00000000-0005-0000-0000-0000750A0000}"/>
    <cellStyle name="Percent 2 15 2 2 3" xfId="2677" xr:uid="{00000000-0005-0000-0000-0000760A0000}"/>
    <cellStyle name="Percent 2 15 2 3" xfId="2678" xr:uid="{00000000-0005-0000-0000-0000770A0000}"/>
    <cellStyle name="Percent 2 15 3" xfId="2679" xr:uid="{00000000-0005-0000-0000-0000780A0000}"/>
    <cellStyle name="Percent 2 15 4" xfId="2680" xr:uid="{00000000-0005-0000-0000-0000790A0000}"/>
    <cellStyle name="Percent 2 16" xfId="2681" xr:uid="{00000000-0005-0000-0000-00007A0A0000}"/>
    <cellStyle name="Percent 2 16 2" xfId="2682" xr:uid="{00000000-0005-0000-0000-00007B0A0000}"/>
    <cellStyle name="Percent 2 16 2 2" xfId="2683" xr:uid="{00000000-0005-0000-0000-00007C0A0000}"/>
    <cellStyle name="Percent 2 16 2 2 2" xfId="2684" xr:uid="{00000000-0005-0000-0000-00007D0A0000}"/>
    <cellStyle name="Percent 2 16 2 2 3" xfId="2685" xr:uid="{00000000-0005-0000-0000-00007E0A0000}"/>
    <cellStyle name="Percent 2 16 2 3" xfId="2686" xr:uid="{00000000-0005-0000-0000-00007F0A0000}"/>
    <cellStyle name="Percent 2 16 3" xfId="2687" xr:uid="{00000000-0005-0000-0000-0000800A0000}"/>
    <cellStyle name="Percent 2 16 4" xfId="2688" xr:uid="{00000000-0005-0000-0000-0000810A0000}"/>
    <cellStyle name="Percent 2 17" xfId="2689" xr:uid="{00000000-0005-0000-0000-0000820A0000}"/>
    <cellStyle name="Percent 2 17 2" xfId="2690" xr:uid="{00000000-0005-0000-0000-0000830A0000}"/>
    <cellStyle name="Percent 2 17 2 2" xfId="2691" xr:uid="{00000000-0005-0000-0000-0000840A0000}"/>
    <cellStyle name="Percent 2 17 2 2 2" xfId="2692" xr:uid="{00000000-0005-0000-0000-0000850A0000}"/>
    <cellStyle name="Percent 2 17 2 2 3" xfId="2693" xr:uid="{00000000-0005-0000-0000-0000860A0000}"/>
    <cellStyle name="Percent 2 17 2 3" xfId="2694" xr:uid="{00000000-0005-0000-0000-0000870A0000}"/>
    <cellStyle name="Percent 2 17 3" xfId="2695" xr:uid="{00000000-0005-0000-0000-0000880A0000}"/>
    <cellStyle name="Percent 2 17 4" xfId="2696" xr:uid="{00000000-0005-0000-0000-0000890A0000}"/>
    <cellStyle name="Percent 2 18" xfId="2697" xr:uid="{00000000-0005-0000-0000-00008A0A0000}"/>
    <cellStyle name="Percent 2 18 2" xfId="2698" xr:uid="{00000000-0005-0000-0000-00008B0A0000}"/>
    <cellStyle name="Percent 2 18 2 2" xfId="2699" xr:uid="{00000000-0005-0000-0000-00008C0A0000}"/>
    <cellStyle name="Percent 2 18 2 2 2" xfId="2700" xr:uid="{00000000-0005-0000-0000-00008D0A0000}"/>
    <cellStyle name="Percent 2 18 2 2 3" xfId="2701" xr:uid="{00000000-0005-0000-0000-00008E0A0000}"/>
    <cellStyle name="Percent 2 18 2 3" xfId="2702" xr:uid="{00000000-0005-0000-0000-00008F0A0000}"/>
    <cellStyle name="Percent 2 18 3" xfId="2703" xr:uid="{00000000-0005-0000-0000-0000900A0000}"/>
    <cellStyle name="Percent 2 18 4" xfId="2704" xr:uid="{00000000-0005-0000-0000-0000910A0000}"/>
    <cellStyle name="Percent 2 19" xfId="2705" xr:uid="{00000000-0005-0000-0000-0000920A0000}"/>
    <cellStyle name="Percent 2 19 2" xfId="2706" xr:uid="{00000000-0005-0000-0000-0000930A0000}"/>
    <cellStyle name="Percent 2 19 2 2" xfId="2707" xr:uid="{00000000-0005-0000-0000-0000940A0000}"/>
    <cellStyle name="Percent 2 19 2 2 2" xfId="2708" xr:uid="{00000000-0005-0000-0000-0000950A0000}"/>
    <cellStyle name="Percent 2 19 2 2 3" xfId="2709" xr:uid="{00000000-0005-0000-0000-0000960A0000}"/>
    <cellStyle name="Percent 2 19 2 3" xfId="2710" xr:uid="{00000000-0005-0000-0000-0000970A0000}"/>
    <cellStyle name="Percent 2 19 3" xfId="2711" xr:uid="{00000000-0005-0000-0000-0000980A0000}"/>
    <cellStyle name="Percent 2 19 4" xfId="2712" xr:uid="{00000000-0005-0000-0000-0000990A0000}"/>
    <cellStyle name="Percent 2 2" xfId="2713" xr:uid="{00000000-0005-0000-0000-00009A0A0000}"/>
    <cellStyle name="Percent 2 2 2" xfId="2714" xr:uid="{00000000-0005-0000-0000-00009B0A0000}"/>
    <cellStyle name="Percent 2 2 2 2" xfId="2715" xr:uid="{00000000-0005-0000-0000-00009C0A0000}"/>
    <cellStyle name="Percent 2 2 2 2 2" xfId="2716" xr:uid="{00000000-0005-0000-0000-00009D0A0000}"/>
    <cellStyle name="Percent 2 2 2 2 2 2" xfId="2717" xr:uid="{00000000-0005-0000-0000-00009E0A0000}"/>
    <cellStyle name="Percent 2 2 2 2 2 3" xfId="2718" xr:uid="{00000000-0005-0000-0000-00009F0A0000}"/>
    <cellStyle name="Percent 2 2 2 2 3" xfId="2719" xr:uid="{00000000-0005-0000-0000-0000A00A0000}"/>
    <cellStyle name="Percent 2 2 2 2 4" xfId="2720" xr:uid="{00000000-0005-0000-0000-0000A10A0000}"/>
    <cellStyle name="Percent 2 2 2 3" xfId="2721" xr:uid="{00000000-0005-0000-0000-0000A20A0000}"/>
    <cellStyle name="Percent 2 2 2 4" xfId="2722" xr:uid="{00000000-0005-0000-0000-0000A30A0000}"/>
    <cellStyle name="Percent 2 2 2 5" xfId="2723" xr:uid="{00000000-0005-0000-0000-0000A40A0000}"/>
    <cellStyle name="Percent 2 2 2 5 2" xfId="2724" xr:uid="{00000000-0005-0000-0000-0000A50A0000}"/>
    <cellStyle name="Percent 2 2 2 6" xfId="2725" xr:uid="{00000000-0005-0000-0000-0000A60A0000}"/>
    <cellStyle name="Percent 2 2 2 7" xfId="2726" xr:uid="{00000000-0005-0000-0000-0000A70A0000}"/>
    <cellStyle name="Percent 2 2 3" xfId="2727" xr:uid="{00000000-0005-0000-0000-0000A80A0000}"/>
    <cellStyle name="Percent 2 2 3 2" xfId="2728" xr:uid="{00000000-0005-0000-0000-0000A90A0000}"/>
    <cellStyle name="Percent 2 2 3 2 2" xfId="2729" xr:uid="{00000000-0005-0000-0000-0000AA0A0000}"/>
    <cellStyle name="Percent 2 2 3 2 3" xfId="2730" xr:uid="{00000000-0005-0000-0000-0000AB0A0000}"/>
    <cellStyle name="Percent 2 2 3 3" xfId="2731" xr:uid="{00000000-0005-0000-0000-0000AC0A0000}"/>
    <cellStyle name="Percent 2 2 4" xfId="2732" xr:uid="{00000000-0005-0000-0000-0000AD0A0000}"/>
    <cellStyle name="Percent 2 2 4 2" xfId="2733" xr:uid="{00000000-0005-0000-0000-0000AE0A0000}"/>
    <cellStyle name="Percent 2 2 4 2 2" xfId="2734" xr:uid="{00000000-0005-0000-0000-0000AF0A0000}"/>
    <cellStyle name="Percent 2 2 4 2 3" xfId="2735" xr:uid="{00000000-0005-0000-0000-0000B00A0000}"/>
    <cellStyle name="Percent 2 2 4 3" xfId="2736" xr:uid="{00000000-0005-0000-0000-0000B10A0000}"/>
    <cellStyle name="Percent 2 2 5" xfId="2737" xr:uid="{00000000-0005-0000-0000-0000B20A0000}"/>
    <cellStyle name="Percent 2 2 5 2" xfId="2738" xr:uid="{00000000-0005-0000-0000-0000B30A0000}"/>
    <cellStyle name="Percent 2 2 5 3" xfId="2739" xr:uid="{00000000-0005-0000-0000-0000B40A0000}"/>
    <cellStyle name="Percent 2 2 6" xfId="2740" xr:uid="{00000000-0005-0000-0000-0000B50A0000}"/>
    <cellStyle name="Percent 2 2 7" xfId="2741" xr:uid="{00000000-0005-0000-0000-0000B60A0000}"/>
    <cellStyle name="Percent 2 20" xfId="2742" xr:uid="{00000000-0005-0000-0000-0000B70A0000}"/>
    <cellStyle name="Percent 2 20 2" xfId="2743" xr:uid="{00000000-0005-0000-0000-0000B80A0000}"/>
    <cellStyle name="Percent 2 20 2 2" xfId="2744" xr:uid="{00000000-0005-0000-0000-0000B90A0000}"/>
    <cellStyle name="Percent 2 20 2 2 2" xfId="2745" xr:uid="{00000000-0005-0000-0000-0000BA0A0000}"/>
    <cellStyle name="Percent 2 20 2 2 3" xfId="2746" xr:uid="{00000000-0005-0000-0000-0000BB0A0000}"/>
    <cellStyle name="Percent 2 20 2 3" xfId="2747" xr:uid="{00000000-0005-0000-0000-0000BC0A0000}"/>
    <cellStyle name="Percent 2 20 3" xfId="2748" xr:uid="{00000000-0005-0000-0000-0000BD0A0000}"/>
    <cellStyle name="Percent 2 20 4" xfId="2749" xr:uid="{00000000-0005-0000-0000-0000BE0A0000}"/>
    <cellStyle name="Percent 2 21" xfId="2750" xr:uid="{00000000-0005-0000-0000-0000BF0A0000}"/>
    <cellStyle name="Percent 2 21 2" xfId="2751" xr:uid="{00000000-0005-0000-0000-0000C00A0000}"/>
    <cellStyle name="Percent 2 21 2 2" xfId="2752" xr:uid="{00000000-0005-0000-0000-0000C10A0000}"/>
    <cellStyle name="Percent 2 21 2 2 2" xfId="2753" xr:uid="{00000000-0005-0000-0000-0000C20A0000}"/>
    <cellStyle name="Percent 2 21 2 2 3" xfId="2754" xr:uid="{00000000-0005-0000-0000-0000C30A0000}"/>
    <cellStyle name="Percent 2 21 2 3" xfId="2755" xr:uid="{00000000-0005-0000-0000-0000C40A0000}"/>
    <cellStyle name="Percent 2 21 3" xfId="2756" xr:uid="{00000000-0005-0000-0000-0000C50A0000}"/>
    <cellStyle name="Percent 2 21 4" xfId="2757" xr:uid="{00000000-0005-0000-0000-0000C60A0000}"/>
    <cellStyle name="Percent 2 22" xfId="2758" xr:uid="{00000000-0005-0000-0000-0000C70A0000}"/>
    <cellStyle name="Percent 2 22 2" xfId="2759" xr:uid="{00000000-0005-0000-0000-0000C80A0000}"/>
    <cellStyle name="Percent 2 22 2 2" xfId="2760" xr:uid="{00000000-0005-0000-0000-0000C90A0000}"/>
    <cellStyle name="Percent 2 22 2 2 2" xfId="2761" xr:uid="{00000000-0005-0000-0000-0000CA0A0000}"/>
    <cellStyle name="Percent 2 22 2 2 3" xfId="2762" xr:uid="{00000000-0005-0000-0000-0000CB0A0000}"/>
    <cellStyle name="Percent 2 22 2 3" xfId="2763" xr:uid="{00000000-0005-0000-0000-0000CC0A0000}"/>
    <cellStyle name="Percent 2 22 3" xfId="2764" xr:uid="{00000000-0005-0000-0000-0000CD0A0000}"/>
    <cellStyle name="Percent 2 22 4" xfId="2765" xr:uid="{00000000-0005-0000-0000-0000CE0A0000}"/>
    <cellStyle name="Percent 2 23" xfId="2766" xr:uid="{00000000-0005-0000-0000-0000CF0A0000}"/>
    <cellStyle name="Percent 2 23 2" xfId="2767" xr:uid="{00000000-0005-0000-0000-0000D00A0000}"/>
    <cellStyle name="Percent 2 23 2 2" xfId="2768" xr:uid="{00000000-0005-0000-0000-0000D10A0000}"/>
    <cellStyle name="Percent 2 23 2 2 2" xfId="2769" xr:uid="{00000000-0005-0000-0000-0000D20A0000}"/>
    <cellStyle name="Percent 2 23 2 2 3" xfId="2770" xr:uid="{00000000-0005-0000-0000-0000D30A0000}"/>
    <cellStyle name="Percent 2 23 2 3" xfId="2771" xr:uid="{00000000-0005-0000-0000-0000D40A0000}"/>
    <cellStyle name="Percent 2 23 3" xfId="2772" xr:uid="{00000000-0005-0000-0000-0000D50A0000}"/>
    <cellStyle name="Percent 2 23 4" xfId="2773" xr:uid="{00000000-0005-0000-0000-0000D60A0000}"/>
    <cellStyle name="Percent 2 24" xfId="2774" xr:uid="{00000000-0005-0000-0000-0000D70A0000}"/>
    <cellStyle name="Percent 2 24 2" xfId="2775" xr:uid="{00000000-0005-0000-0000-0000D80A0000}"/>
    <cellStyle name="Percent 2 24 2 2" xfId="2776" xr:uid="{00000000-0005-0000-0000-0000D90A0000}"/>
    <cellStyle name="Percent 2 24 2 2 2" xfId="2777" xr:uid="{00000000-0005-0000-0000-0000DA0A0000}"/>
    <cellStyle name="Percent 2 24 2 2 3" xfId="2778" xr:uid="{00000000-0005-0000-0000-0000DB0A0000}"/>
    <cellStyle name="Percent 2 24 2 3" xfId="2779" xr:uid="{00000000-0005-0000-0000-0000DC0A0000}"/>
    <cellStyle name="Percent 2 24 3" xfId="2780" xr:uid="{00000000-0005-0000-0000-0000DD0A0000}"/>
    <cellStyle name="Percent 2 24 4" xfId="2781" xr:uid="{00000000-0005-0000-0000-0000DE0A0000}"/>
    <cellStyle name="Percent 2 25" xfId="2782" xr:uid="{00000000-0005-0000-0000-0000DF0A0000}"/>
    <cellStyle name="Percent 2 25 2" xfId="2783" xr:uid="{00000000-0005-0000-0000-0000E00A0000}"/>
    <cellStyle name="Percent 2 25 2 2" xfId="2784" xr:uid="{00000000-0005-0000-0000-0000E10A0000}"/>
    <cellStyle name="Percent 2 25 2 2 2" xfId="2785" xr:uid="{00000000-0005-0000-0000-0000E20A0000}"/>
    <cellStyle name="Percent 2 25 2 2 3" xfId="2786" xr:uid="{00000000-0005-0000-0000-0000E30A0000}"/>
    <cellStyle name="Percent 2 25 2 3" xfId="2787" xr:uid="{00000000-0005-0000-0000-0000E40A0000}"/>
    <cellStyle name="Percent 2 25 3" xfId="2788" xr:uid="{00000000-0005-0000-0000-0000E50A0000}"/>
    <cellStyle name="Percent 2 25 4" xfId="2789" xr:uid="{00000000-0005-0000-0000-0000E60A0000}"/>
    <cellStyle name="Percent 2 26" xfId="2790" xr:uid="{00000000-0005-0000-0000-0000E70A0000}"/>
    <cellStyle name="Percent 2 26 2" xfId="2791" xr:uid="{00000000-0005-0000-0000-0000E80A0000}"/>
    <cellStyle name="Percent 2 26 2 2" xfId="2792" xr:uid="{00000000-0005-0000-0000-0000E90A0000}"/>
    <cellStyle name="Percent 2 26 2 2 2" xfId="2793" xr:uid="{00000000-0005-0000-0000-0000EA0A0000}"/>
    <cellStyle name="Percent 2 26 2 2 3" xfId="2794" xr:uid="{00000000-0005-0000-0000-0000EB0A0000}"/>
    <cellStyle name="Percent 2 26 2 3" xfId="2795" xr:uid="{00000000-0005-0000-0000-0000EC0A0000}"/>
    <cellStyle name="Percent 2 26 3" xfId="2796" xr:uid="{00000000-0005-0000-0000-0000ED0A0000}"/>
    <cellStyle name="Percent 2 26 4" xfId="2797" xr:uid="{00000000-0005-0000-0000-0000EE0A0000}"/>
    <cellStyle name="Percent 2 27" xfId="2798" xr:uid="{00000000-0005-0000-0000-0000EF0A0000}"/>
    <cellStyle name="Percent 2 27 2" xfId="2799" xr:uid="{00000000-0005-0000-0000-0000F00A0000}"/>
    <cellStyle name="Percent 2 27 3" xfId="2800" xr:uid="{00000000-0005-0000-0000-0000F10A0000}"/>
    <cellStyle name="Percent 2 28" xfId="2801" xr:uid="{00000000-0005-0000-0000-0000F20A0000}"/>
    <cellStyle name="Percent 2 28 2" xfId="2802" xr:uid="{00000000-0005-0000-0000-0000F30A0000}"/>
    <cellStyle name="Percent 2 28 3" xfId="2803" xr:uid="{00000000-0005-0000-0000-0000F40A0000}"/>
    <cellStyle name="Percent 2 29" xfId="2804" xr:uid="{00000000-0005-0000-0000-0000F50A0000}"/>
    <cellStyle name="Percent 2 29 2" xfId="2805" xr:uid="{00000000-0005-0000-0000-0000F60A0000}"/>
    <cellStyle name="Percent 2 29 2 2" xfId="2806" xr:uid="{00000000-0005-0000-0000-0000F70A0000}"/>
    <cellStyle name="Percent 2 29 2 3" xfId="2807" xr:uid="{00000000-0005-0000-0000-0000F80A0000}"/>
    <cellStyle name="Percent 2 29 3" xfId="2808" xr:uid="{00000000-0005-0000-0000-0000F90A0000}"/>
    <cellStyle name="Percent 2 3" xfId="2809" xr:uid="{00000000-0005-0000-0000-0000FA0A0000}"/>
    <cellStyle name="Percent 2 3 2" xfId="2810" xr:uid="{00000000-0005-0000-0000-0000FB0A0000}"/>
    <cellStyle name="Percent 2 3 2 2" xfId="2811" xr:uid="{00000000-0005-0000-0000-0000FC0A0000}"/>
    <cellStyle name="Percent 2 3 2 2 2" xfId="2812" xr:uid="{00000000-0005-0000-0000-0000FD0A0000}"/>
    <cellStyle name="Percent 2 3 2 2 3" xfId="2813" xr:uid="{00000000-0005-0000-0000-0000FE0A0000}"/>
    <cellStyle name="Percent 2 3 2 3" xfId="2814" xr:uid="{00000000-0005-0000-0000-0000FF0A0000}"/>
    <cellStyle name="Percent 2 3 3" xfId="2815" xr:uid="{00000000-0005-0000-0000-0000000B0000}"/>
    <cellStyle name="Percent 2 3 4" xfId="2816" xr:uid="{00000000-0005-0000-0000-0000010B0000}"/>
    <cellStyle name="Percent 2 30" xfId="2817" xr:uid="{00000000-0005-0000-0000-0000020B0000}"/>
    <cellStyle name="Percent 2 31" xfId="2818" xr:uid="{00000000-0005-0000-0000-0000030B0000}"/>
    <cellStyle name="Percent 2 32" xfId="2819" xr:uid="{00000000-0005-0000-0000-0000040B0000}"/>
    <cellStyle name="Percent 2 33" xfId="2820" xr:uid="{00000000-0005-0000-0000-0000050B0000}"/>
    <cellStyle name="Percent 2 34" xfId="2821" xr:uid="{00000000-0005-0000-0000-0000060B0000}"/>
    <cellStyle name="Percent 2 35" xfId="2822" xr:uid="{00000000-0005-0000-0000-0000070B0000}"/>
    <cellStyle name="Percent 2 36" xfId="2823" xr:uid="{00000000-0005-0000-0000-0000080B0000}"/>
    <cellStyle name="Percent 2 37" xfId="2824" xr:uid="{00000000-0005-0000-0000-0000090B0000}"/>
    <cellStyle name="Percent 2 38" xfId="2825" xr:uid="{00000000-0005-0000-0000-00000A0B0000}"/>
    <cellStyle name="Percent 2 39" xfId="2826" xr:uid="{00000000-0005-0000-0000-00000B0B0000}"/>
    <cellStyle name="Percent 2 4" xfId="2827" xr:uid="{00000000-0005-0000-0000-00000C0B0000}"/>
    <cellStyle name="Percent 2 4 2" xfId="2828" xr:uid="{00000000-0005-0000-0000-00000D0B0000}"/>
    <cellStyle name="Percent 2 4 2 2" xfId="2829" xr:uid="{00000000-0005-0000-0000-00000E0B0000}"/>
    <cellStyle name="Percent 2 4 2 2 2" xfId="2830" xr:uid="{00000000-0005-0000-0000-00000F0B0000}"/>
    <cellStyle name="Percent 2 4 2 2 3" xfId="2831" xr:uid="{00000000-0005-0000-0000-0000100B0000}"/>
    <cellStyle name="Percent 2 4 2 3" xfId="2832" xr:uid="{00000000-0005-0000-0000-0000110B0000}"/>
    <cellStyle name="Percent 2 4 3" xfId="2833" xr:uid="{00000000-0005-0000-0000-0000120B0000}"/>
    <cellStyle name="Percent 2 4 4" xfId="2834" xr:uid="{00000000-0005-0000-0000-0000130B0000}"/>
    <cellStyle name="Percent 2 40" xfId="2835" xr:uid="{00000000-0005-0000-0000-0000140B0000}"/>
    <cellStyle name="Percent 2 41" xfId="2836" xr:uid="{00000000-0005-0000-0000-0000150B0000}"/>
    <cellStyle name="Percent 2 42" xfId="2837" xr:uid="{00000000-0005-0000-0000-0000160B0000}"/>
    <cellStyle name="Percent 2 43" xfId="2838" xr:uid="{00000000-0005-0000-0000-0000170B0000}"/>
    <cellStyle name="Percent 2 44" xfId="2839" xr:uid="{00000000-0005-0000-0000-0000180B0000}"/>
    <cellStyle name="Percent 2 45" xfId="2840" xr:uid="{00000000-0005-0000-0000-0000190B0000}"/>
    <cellStyle name="Percent 2 46" xfId="2841" xr:uid="{00000000-0005-0000-0000-00001A0B0000}"/>
    <cellStyle name="Percent 2 47" xfId="2842" xr:uid="{00000000-0005-0000-0000-00001B0B0000}"/>
    <cellStyle name="Percent 2 48" xfId="2843" xr:uid="{00000000-0005-0000-0000-00001C0B0000}"/>
    <cellStyle name="Percent 2 5" xfId="2844" xr:uid="{00000000-0005-0000-0000-00001D0B0000}"/>
    <cellStyle name="Percent 2 5 2" xfId="2845" xr:uid="{00000000-0005-0000-0000-00001E0B0000}"/>
    <cellStyle name="Percent 2 5 2 2" xfId="2846" xr:uid="{00000000-0005-0000-0000-00001F0B0000}"/>
    <cellStyle name="Percent 2 5 2 2 2" xfId="2847" xr:uid="{00000000-0005-0000-0000-0000200B0000}"/>
    <cellStyle name="Percent 2 5 2 2 3" xfId="2848" xr:uid="{00000000-0005-0000-0000-0000210B0000}"/>
    <cellStyle name="Percent 2 5 2 3" xfId="2849" xr:uid="{00000000-0005-0000-0000-0000220B0000}"/>
    <cellStyle name="Percent 2 5 3" xfId="2850" xr:uid="{00000000-0005-0000-0000-0000230B0000}"/>
    <cellStyle name="Percent 2 5 4" xfId="2851" xr:uid="{00000000-0005-0000-0000-0000240B0000}"/>
    <cellStyle name="Percent 2 6" xfId="2852" xr:uid="{00000000-0005-0000-0000-0000250B0000}"/>
    <cellStyle name="Percent 2 6 2" xfId="2853" xr:uid="{00000000-0005-0000-0000-0000260B0000}"/>
    <cellStyle name="Percent 2 6 2 2" xfId="2854" xr:uid="{00000000-0005-0000-0000-0000270B0000}"/>
    <cellStyle name="Percent 2 6 2 2 2" xfId="2855" xr:uid="{00000000-0005-0000-0000-0000280B0000}"/>
    <cellStyle name="Percent 2 6 2 2 3" xfId="2856" xr:uid="{00000000-0005-0000-0000-0000290B0000}"/>
    <cellStyle name="Percent 2 6 2 3" xfId="2857" xr:uid="{00000000-0005-0000-0000-00002A0B0000}"/>
    <cellStyle name="Percent 2 6 3" xfId="2858" xr:uid="{00000000-0005-0000-0000-00002B0B0000}"/>
    <cellStyle name="Percent 2 6 4" xfId="2859" xr:uid="{00000000-0005-0000-0000-00002C0B0000}"/>
    <cellStyle name="Percent 2 7" xfId="2860" xr:uid="{00000000-0005-0000-0000-00002D0B0000}"/>
    <cellStyle name="Percent 2 7 2" xfId="2861" xr:uid="{00000000-0005-0000-0000-00002E0B0000}"/>
    <cellStyle name="Percent 2 7 2 2" xfId="2862" xr:uid="{00000000-0005-0000-0000-00002F0B0000}"/>
    <cellStyle name="Percent 2 7 2 2 2" xfId="2863" xr:uid="{00000000-0005-0000-0000-0000300B0000}"/>
    <cellStyle name="Percent 2 7 2 2 3" xfId="2864" xr:uid="{00000000-0005-0000-0000-0000310B0000}"/>
    <cellStyle name="Percent 2 7 2 3" xfId="2865" xr:uid="{00000000-0005-0000-0000-0000320B0000}"/>
    <cellStyle name="Percent 2 7 3" xfId="2866" xr:uid="{00000000-0005-0000-0000-0000330B0000}"/>
    <cellStyle name="Percent 2 7 4" xfId="2867" xr:uid="{00000000-0005-0000-0000-0000340B0000}"/>
    <cellStyle name="Percent 2 8" xfId="2868" xr:uid="{00000000-0005-0000-0000-0000350B0000}"/>
    <cellStyle name="Percent 2 8 2" xfId="2869" xr:uid="{00000000-0005-0000-0000-0000360B0000}"/>
    <cellStyle name="Percent 2 8 3" xfId="2870" xr:uid="{00000000-0005-0000-0000-0000370B0000}"/>
    <cellStyle name="Percent 2 8 4" xfId="2871" xr:uid="{00000000-0005-0000-0000-0000380B0000}"/>
    <cellStyle name="Percent 2 9" xfId="2872" xr:uid="{00000000-0005-0000-0000-0000390B0000}"/>
    <cellStyle name="Percent 2 9 2" xfId="2873" xr:uid="{00000000-0005-0000-0000-00003A0B0000}"/>
    <cellStyle name="Percent 2 9 2 2" xfId="2874" xr:uid="{00000000-0005-0000-0000-00003B0B0000}"/>
    <cellStyle name="Percent 2 9 2 2 2" xfId="2875" xr:uid="{00000000-0005-0000-0000-00003C0B0000}"/>
    <cellStyle name="Percent 2 9 2 2 3" xfId="2876" xr:uid="{00000000-0005-0000-0000-00003D0B0000}"/>
    <cellStyle name="Percent 2 9 2 3" xfId="2877" xr:uid="{00000000-0005-0000-0000-00003E0B0000}"/>
    <cellStyle name="Percent 2 9 3" xfId="2878" xr:uid="{00000000-0005-0000-0000-00003F0B0000}"/>
    <cellStyle name="Percent 2 9 4" xfId="2879" xr:uid="{00000000-0005-0000-0000-0000400B0000}"/>
    <cellStyle name="Percent 20" xfId="2880" xr:uid="{00000000-0005-0000-0000-0000410B0000}"/>
    <cellStyle name="Percent 21" xfId="2881" xr:uid="{00000000-0005-0000-0000-0000420B0000}"/>
    <cellStyle name="Percent 22" xfId="2882" xr:uid="{00000000-0005-0000-0000-0000430B0000}"/>
    <cellStyle name="Percent 23" xfId="2883" xr:uid="{00000000-0005-0000-0000-0000440B0000}"/>
    <cellStyle name="Percent 24" xfId="2884" xr:uid="{00000000-0005-0000-0000-0000450B0000}"/>
    <cellStyle name="Percent 25" xfId="2885" xr:uid="{00000000-0005-0000-0000-0000460B0000}"/>
    <cellStyle name="Percent 26" xfId="2886" xr:uid="{00000000-0005-0000-0000-0000470B0000}"/>
    <cellStyle name="Percent 27" xfId="2887" xr:uid="{00000000-0005-0000-0000-0000480B0000}"/>
    <cellStyle name="Percent 28" xfId="2888" xr:uid="{00000000-0005-0000-0000-0000490B0000}"/>
    <cellStyle name="Percent 29" xfId="2889" xr:uid="{00000000-0005-0000-0000-00004A0B0000}"/>
    <cellStyle name="Percent 3" xfId="2890" xr:uid="{00000000-0005-0000-0000-00004B0B0000}"/>
    <cellStyle name="Percent 3 10" xfId="2891" xr:uid="{00000000-0005-0000-0000-00004C0B0000}"/>
    <cellStyle name="Percent 3 11" xfId="2892" xr:uid="{00000000-0005-0000-0000-00004D0B0000}"/>
    <cellStyle name="Percent 3 12" xfId="2893" xr:uid="{00000000-0005-0000-0000-00004E0B0000}"/>
    <cellStyle name="Percent 3 13" xfId="2894" xr:uid="{00000000-0005-0000-0000-00004F0B0000}"/>
    <cellStyle name="Percent 3 14" xfId="2895" xr:uid="{00000000-0005-0000-0000-0000500B0000}"/>
    <cellStyle name="Percent 3 15" xfId="2896" xr:uid="{00000000-0005-0000-0000-0000510B0000}"/>
    <cellStyle name="Percent 3 16" xfId="2897" xr:uid="{00000000-0005-0000-0000-0000520B0000}"/>
    <cellStyle name="Percent 3 17" xfId="2898" xr:uid="{00000000-0005-0000-0000-0000530B0000}"/>
    <cellStyle name="Percent 3 18" xfId="2899" xr:uid="{00000000-0005-0000-0000-0000540B0000}"/>
    <cellStyle name="Percent 3 19" xfId="2900" xr:uid="{00000000-0005-0000-0000-0000550B0000}"/>
    <cellStyle name="Percent 3 2" xfId="2901" xr:uid="{00000000-0005-0000-0000-0000560B0000}"/>
    <cellStyle name="Percent 3 2 2" xfId="2902" xr:uid="{00000000-0005-0000-0000-0000570B0000}"/>
    <cellStyle name="Percent 3 2 3" xfId="2903" xr:uid="{00000000-0005-0000-0000-0000580B0000}"/>
    <cellStyle name="Percent 3 2 4" xfId="2904" xr:uid="{00000000-0005-0000-0000-0000590B0000}"/>
    <cellStyle name="Percent 3 2 5" xfId="2905" xr:uid="{00000000-0005-0000-0000-00005A0B0000}"/>
    <cellStyle name="Percent 3 2 6" xfId="2906" xr:uid="{00000000-0005-0000-0000-00005B0B0000}"/>
    <cellStyle name="Percent 3 2 7" xfId="2907" xr:uid="{00000000-0005-0000-0000-00005C0B0000}"/>
    <cellStyle name="Percent 3 20" xfId="2908" xr:uid="{00000000-0005-0000-0000-00005D0B0000}"/>
    <cellStyle name="Percent 3 21" xfId="2909" xr:uid="{00000000-0005-0000-0000-00005E0B0000}"/>
    <cellStyle name="Percent 3 22" xfId="2910" xr:uid="{00000000-0005-0000-0000-00005F0B0000}"/>
    <cellStyle name="Percent 3 23" xfId="2911" xr:uid="{00000000-0005-0000-0000-0000600B0000}"/>
    <cellStyle name="Percent 3 24" xfId="2912" xr:uid="{00000000-0005-0000-0000-0000610B0000}"/>
    <cellStyle name="Percent 3 25" xfId="2913" xr:uid="{00000000-0005-0000-0000-0000620B0000}"/>
    <cellStyle name="Percent 3 26" xfId="2914" xr:uid="{00000000-0005-0000-0000-0000630B0000}"/>
    <cellStyle name="Percent 3 27" xfId="2915" xr:uid="{00000000-0005-0000-0000-0000640B0000}"/>
    <cellStyle name="Percent 3 27 2" xfId="2916" xr:uid="{00000000-0005-0000-0000-0000650B0000}"/>
    <cellStyle name="Percent 3 27 3" xfId="2917" xr:uid="{00000000-0005-0000-0000-0000660B0000}"/>
    <cellStyle name="Percent 3 28" xfId="2918" xr:uid="{00000000-0005-0000-0000-0000670B0000}"/>
    <cellStyle name="Percent 3 29" xfId="2919" xr:uid="{00000000-0005-0000-0000-0000680B0000}"/>
    <cellStyle name="Percent 3 3" xfId="2920" xr:uid="{00000000-0005-0000-0000-0000690B0000}"/>
    <cellStyle name="Percent 3 30" xfId="2921" xr:uid="{00000000-0005-0000-0000-00006A0B0000}"/>
    <cellStyle name="Percent 3 31" xfId="2922" xr:uid="{00000000-0005-0000-0000-00006B0B0000}"/>
    <cellStyle name="Percent 3 32" xfId="2923" xr:uid="{00000000-0005-0000-0000-00006C0B0000}"/>
    <cellStyle name="Percent 3 33" xfId="2924" xr:uid="{00000000-0005-0000-0000-00006D0B0000}"/>
    <cellStyle name="Percent 3 34" xfId="2925" xr:uid="{00000000-0005-0000-0000-00006E0B0000}"/>
    <cellStyle name="Percent 3 35" xfId="2926" xr:uid="{00000000-0005-0000-0000-00006F0B0000}"/>
    <cellStyle name="Percent 3 36" xfId="2927" xr:uid="{00000000-0005-0000-0000-0000700B0000}"/>
    <cellStyle name="Percent 3 37" xfId="2928" xr:uid="{00000000-0005-0000-0000-0000710B0000}"/>
    <cellStyle name="Percent 3 38" xfId="2929" xr:uid="{00000000-0005-0000-0000-0000720B0000}"/>
    <cellStyle name="Percent 3 39" xfId="2930" xr:uid="{00000000-0005-0000-0000-0000730B0000}"/>
    <cellStyle name="Percent 3 4" xfId="2931" xr:uid="{00000000-0005-0000-0000-0000740B0000}"/>
    <cellStyle name="Percent 3 40" xfId="2932" xr:uid="{00000000-0005-0000-0000-0000750B0000}"/>
    <cellStyle name="Percent 3 41" xfId="2933" xr:uid="{00000000-0005-0000-0000-0000760B0000}"/>
    <cellStyle name="Percent 3 42" xfId="2934" xr:uid="{00000000-0005-0000-0000-0000770B0000}"/>
    <cellStyle name="Percent 3 43" xfId="2935" xr:uid="{00000000-0005-0000-0000-0000780B0000}"/>
    <cellStyle name="Percent 3 44" xfId="2936" xr:uid="{00000000-0005-0000-0000-0000790B0000}"/>
    <cellStyle name="Percent 3 45" xfId="2937" xr:uid="{00000000-0005-0000-0000-00007A0B0000}"/>
    <cellStyle name="Percent 3 46" xfId="2938" xr:uid="{00000000-0005-0000-0000-00007B0B0000}"/>
    <cellStyle name="Percent 3 47" xfId="2939" xr:uid="{00000000-0005-0000-0000-00007C0B0000}"/>
    <cellStyle name="Percent 3 48" xfId="2940" xr:uid="{00000000-0005-0000-0000-00007D0B0000}"/>
    <cellStyle name="Percent 3 49" xfId="2941" xr:uid="{00000000-0005-0000-0000-00007E0B0000}"/>
    <cellStyle name="Percent 3 5" xfId="2942" xr:uid="{00000000-0005-0000-0000-00007F0B0000}"/>
    <cellStyle name="Percent 3 50" xfId="2943" xr:uid="{00000000-0005-0000-0000-0000800B0000}"/>
    <cellStyle name="Percent 3 51" xfId="2944" xr:uid="{00000000-0005-0000-0000-0000810B0000}"/>
    <cellStyle name="Percent 3 52" xfId="2945" xr:uid="{00000000-0005-0000-0000-0000820B0000}"/>
    <cellStyle name="Percent 3 53" xfId="2946" xr:uid="{00000000-0005-0000-0000-0000830B0000}"/>
    <cellStyle name="Percent 3 54" xfId="2947" xr:uid="{00000000-0005-0000-0000-0000840B0000}"/>
    <cellStyle name="Percent 3 55" xfId="2948" xr:uid="{00000000-0005-0000-0000-0000850B0000}"/>
    <cellStyle name="Percent 3 56" xfId="2949" xr:uid="{00000000-0005-0000-0000-0000860B0000}"/>
    <cellStyle name="Percent 3 57" xfId="2950" xr:uid="{00000000-0005-0000-0000-0000870B0000}"/>
    <cellStyle name="Percent 3 58" xfId="2951" xr:uid="{00000000-0005-0000-0000-0000880B0000}"/>
    <cellStyle name="Percent 3 59" xfId="2952" xr:uid="{00000000-0005-0000-0000-0000890B0000}"/>
    <cellStyle name="Percent 3 6" xfId="2953" xr:uid="{00000000-0005-0000-0000-00008A0B0000}"/>
    <cellStyle name="Percent 3 60" xfId="2954" xr:uid="{00000000-0005-0000-0000-00008B0B0000}"/>
    <cellStyle name="Percent 3 61" xfId="2955" xr:uid="{00000000-0005-0000-0000-00008C0B0000}"/>
    <cellStyle name="Percent 3 62" xfId="2956" xr:uid="{00000000-0005-0000-0000-00008D0B0000}"/>
    <cellStyle name="Percent 3 63" xfId="2957" xr:uid="{00000000-0005-0000-0000-00008E0B0000}"/>
    <cellStyle name="Percent 3 64" xfId="2958" xr:uid="{00000000-0005-0000-0000-00008F0B0000}"/>
    <cellStyle name="Percent 3 65" xfId="2959" xr:uid="{00000000-0005-0000-0000-0000900B0000}"/>
    <cellStyle name="Percent 3 66" xfId="2960" xr:uid="{00000000-0005-0000-0000-0000910B0000}"/>
    <cellStyle name="Percent 3 67" xfId="2961" xr:uid="{00000000-0005-0000-0000-0000920B0000}"/>
    <cellStyle name="Percent 3 68" xfId="2962" xr:uid="{00000000-0005-0000-0000-0000930B0000}"/>
    <cellStyle name="Percent 3 69" xfId="2963" xr:uid="{00000000-0005-0000-0000-0000940B0000}"/>
    <cellStyle name="Percent 3 7" xfId="2964" xr:uid="{00000000-0005-0000-0000-0000950B0000}"/>
    <cellStyle name="Percent 3 70" xfId="2965" xr:uid="{00000000-0005-0000-0000-0000960B0000}"/>
    <cellStyle name="Percent 3 71" xfId="2966" xr:uid="{00000000-0005-0000-0000-0000970B0000}"/>
    <cellStyle name="Percent 3 72" xfId="2967" xr:uid="{00000000-0005-0000-0000-0000980B0000}"/>
    <cellStyle name="Percent 3 73" xfId="2968" xr:uid="{00000000-0005-0000-0000-0000990B0000}"/>
    <cellStyle name="Percent 3 8" xfId="2969" xr:uid="{00000000-0005-0000-0000-00009A0B0000}"/>
    <cellStyle name="Percent 3 9" xfId="2970" xr:uid="{00000000-0005-0000-0000-00009B0B0000}"/>
    <cellStyle name="Percent 30" xfId="2971" xr:uid="{00000000-0005-0000-0000-00009C0B0000}"/>
    <cellStyle name="Percent 31" xfId="2972" xr:uid="{00000000-0005-0000-0000-00009D0B0000}"/>
    <cellStyle name="Percent 31 2" xfId="2973" xr:uid="{00000000-0005-0000-0000-00009E0B0000}"/>
    <cellStyle name="Percent 34" xfId="2974" xr:uid="{00000000-0005-0000-0000-00009F0B0000}"/>
    <cellStyle name="Percent 34 2" xfId="2975" xr:uid="{00000000-0005-0000-0000-0000A00B0000}"/>
    <cellStyle name="Percent 34 3" xfId="2976" xr:uid="{00000000-0005-0000-0000-0000A10B0000}"/>
    <cellStyle name="Percent 35" xfId="2977" xr:uid="{00000000-0005-0000-0000-0000A20B0000}"/>
    <cellStyle name="Percent 35 2" xfId="2978" xr:uid="{00000000-0005-0000-0000-0000A30B0000}"/>
    <cellStyle name="Percent 35 2 2" xfId="2979" xr:uid="{00000000-0005-0000-0000-0000A40B0000}"/>
    <cellStyle name="Percent 35 2 3" xfId="2980" xr:uid="{00000000-0005-0000-0000-0000A50B0000}"/>
    <cellStyle name="Percent 35 3" xfId="2981" xr:uid="{00000000-0005-0000-0000-0000A60B0000}"/>
    <cellStyle name="Percent 35 4" xfId="2982" xr:uid="{00000000-0005-0000-0000-0000A70B0000}"/>
    <cellStyle name="Percent 4" xfId="2983" xr:uid="{00000000-0005-0000-0000-0000A80B0000}"/>
    <cellStyle name="Percent 4 2" xfId="2984" xr:uid="{00000000-0005-0000-0000-0000A90B0000}"/>
    <cellStyle name="Percent 4 3" xfId="2985" xr:uid="{00000000-0005-0000-0000-0000AA0B0000}"/>
    <cellStyle name="Percent 5" xfId="2986" xr:uid="{00000000-0005-0000-0000-0000AB0B0000}"/>
    <cellStyle name="Percent 52" xfId="2987" xr:uid="{00000000-0005-0000-0000-0000AC0B0000}"/>
    <cellStyle name="Percent 52 2" xfId="2988" xr:uid="{00000000-0005-0000-0000-0000AD0B0000}"/>
    <cellStyle name="Percent 52 3" xfId="2989" xr:uid="{00000000-0005-0000-0000-0000AE0B0000}"/>
    <cellStyle name="Percent 6" xfId="2990" xr:uid="{00000000-0005-0000-0000-0000AF0B0000}"/>
    <cellStyle name="Percent 6 2" xfId="2991" xr:uid="{00000000-0005-0000-0000-0000B00B0000}"/>
    <cellStyle name="Percent 7" xfId="2992" xr:uid="{00000000-0005-0000-0000-0000B10B0000}"/>
    <cellStyle name="Percent 8" xfId="2993" xr:uid="{00000000-0005-0000-0000-0000B20B0000}"/>
    <cellStyle name="Percent 9" xfId="2994" xr:uid="{00000000-0005-0000-0000-0000B30B0000}"/>
    <cellStyle name="price" xfId="2995" xr:uid="{00000000-0005-0000-0000-0000B40B0000}"/>
    <cellStyle name="PSChar" xfId="2996" xr:uid="{00000000-0005-0000-0000-0000B50B0000}"/>
    <cellStyle name="PSHeading" xfId="2997" xr:uid="{00000000-0005-0000-0000-0000B60B0000}"/>
    <cellStyle name="q" xfId="2998" xr:uid="{00000000-0005-0000-0000-0000B70B0000}"/>
    <cellStyle name="q_Sheet1" xfId="2999" xr:uid="{00000000-0005-0000-0000-0000B80B0000}"/>
    <cellStyle name="QEPS-h" xfId="3000" xr:uid="{00000000-0005-0000-0000-0000B90B0000}"/>
    <cellStyle name="QEPS-H1" xfId="3001" xr:uid="{00000000-0005-0000-0000-0000BA0B0000}"/>
    <cellStyle name="qRange" xfId="3002" xr:uid="{00000000-0005-0000-0000-0000BB0B0000}"/>
    <cellStyle name="range" xfId="3003" xr:uid="{00000000-0005-0000-0000-0000BC0B0000}"/>
    <cellStyle name="RevList" xfId="3004" xr:uid="{00000000-0005-0000-0000-0000BD0B0000}"/>
    <cellStyle name="SAPBEXaggData" xfId="3005" xr:uid="{00000000-0005-0000-0000-0000BE0B0000}"/>
    <cellStyle name="SAPBEXaggDataEmph" xfId="3006" xr:uid="{00000000-0005-0000-0000-0000BF0B0000}"/>
    <cellStyle name="SAPBEXaggItem" xfId="3007" xr:uid="{00000000-0005-0000-0000-0000C00B0000}"/>
    <cellStyle name="SAPBEXaggItemX" xfId="3008" xr:uid="{00000000-0005-0000-0000-0000C10B0000}"/>
    <cellStyle name="SAPBEXchaText" xfId="3009" xr:uid="{00000000-0005-0000-0000-0000C20B0000}"/>
    <cellStyle name="SAPBEXexcBad7" xfId="3010" xr:uid="{00000000-0005-0000-0000-0000C30B0000}"/>
    <cellStyle name="SAPBEXexcBad8" xfId="3011" xr:uid="{00000000-0005-0000-0000-0000C40B0000}"/>
    <cellStyle name="SAPBEXexcBad9" xfId="3012" xr:uid="{00000000-0005-0000-0000-0000C50B0000}"/>
    <cellStyle name="SAPBEXexcCritical4" xfId="3013" xr:uid="{00000000-0005-0000-0000-0000C60B0000}"/>
    <cellStyle name="SAPBEXexcCritical5" xfId="3014" xr:uid="{00000000-0005-0000-0000-0000C70B0000}"/>
    <cellStyle name="SAPBEXexcCritical6" xfId="3015" xr:uid="{00000000-0005-0000-0000-0000C80B0000}"/>
    <cellStyle name="SAPBEXexcGood1" xfId="3016" xr:uid="{00000000-0005-0000-0000-0000C90B0000}"/>
    <cellStyle name="SAPBEXexcGood2" xfId="3017" xr:uid="{00000000-0005-0000-0000-0000CA0B0000}"/>
    <cellStyle name="SAPBEXexcGood3" xfId="3018" xr:uid="{00000000-0005-0000-0000-0000CB0B0000}"/>
    <cellStyle name="SAPBEXfilterDrill" xfId="3019" xr:uid="{00000000-0005-0000-0000-0000CC0B0000}"/>
    <cellStyle name="SAPBEXfilterItem" xfId="3020" xr:uid="{00000000-0005-0000-0000-0000CD0B0000}"/>
    <cellStyle name="SAPBEXfilterText" xfId="3021" xr:uid="{00000000-0005-0000-0000-0000CE0B0000}"/>
    <cellStyle name="SAPBEXformats" xfId="3022" xr:uid="{00000000-0005-0000-0000-0000CF0B0000}"/>
    <cellStyle name="SAPBEXheaderItem" xfId="3023" xr:uid="{00000000-0005-0000-0000-0000D00B0000}"/>
    <cellStyle name="SAPBEXheaderText" xfId="3024" xr:uid="{00000000-0005-0000-0000-0000D10B0000}"/>
    <cellStyle name="SAPBEXHLevel0" xfId="3025" xr:uid="{00000000-0005-0000-0000-0000D20B0000}"/>
    <cellStyle name="SAPBEXHLevel0X" xfId="3026" xr:uid="{00000000-0005-0000-0000-0000D30B0000}"/>
    <cellStyle name="SAPBEXHLevel1" xfId="3027" xr:uid="{00000000-0005-0000-0000-0000D40B0000}"/>
    <cellStyle name="SAPBEXHLevel1X" xfId="3028" xr:uid="{00000000-0005-0000-0000-0000D50B0000}"/>
    <cellStyle name="SAPBEXHLevel2" xfId="3029" xr:uid="{00000000-0005-0000-0000-0000D60B0000}"/>
    <cellStyle name="SAPBEXHLevel2X" xfId="3030" xr:uid="{00000000-0005-0000-0000-0000D70B0000}"/>
    <cellStyle name="SAPBEXHLevel3" xfId="3031" xr:uid="{00000000-0005-0000-0000-0000D80B0000}"/>
    <cellStyle name="SAPBEXHLevel3X" xfId="3032" xr:uid="{00000000-0005-0000-0000-0000D90B0000}"/>
    <cellStyle name="SAPBEXresData" xfId="3033" xr:uid="{00000000-0005-0000-0000-0000DA0B0000}"/>
    <cellStyle name="SAPBEXresDataEmph" xfId="3034" xr:uid="{00000000-0005-0000-0000-0000DB0B0000}"/>
    <cellStyle name="SAPBEXresItem" xfId="3035" xr:uid="{00000000-0005-0000-0000-0000DC0B0000}"/>
    <cellStyle name="SAPBEXresItemX" xfId="3036" xr:uid="{00000000-0005-0000-0000-0000DD0B0000}"/>
    <cellStyle name="SAPBEXstdData" xfId="3037" xr:uid="{00000000-0005-0000-0000-0000DE0B0000}"/>
    <cellStyle name="SAPBEXstdDataEmph" xfId="3038" xr:uid="{00000000-0005-0000-0000-0000DF0B0000}"/>
    <cellStyle name="SAPBEXstdItem" xfId="3039" xr:uid="{00000000-0005-0000-0000-0000E00B0000}"/>
    <cellStyle name="SAPBEXstdItemX" xfId="3040" xr:uid="{00000000-0005-0000-0000-0000E10B0000}"/>
    <cellStyle name="SAPBEXtitle" xfId="3041" xr:uid="{00000000-0005-0000-0000-0000E20B0000}"/>
    <cellStyle name="SAPBEXundefined" xfId="3042" xr:uid="{00000000-0005-0000-0000-0000E30B0000}"/>
    <cellStyle name="Style 1" xfId="3043" xr:uid="{00000000-0005-0000-0000-0000E40B0000}"/>
    <cellStyle name="Style 2" xfId="3044" xr:uid="{00000000-0005-0000-0000-0000E50B0000}"/>
    <cellStyle name="subhead" xfId="3045" xr:uid="{00000000-0005-0000-0000-0000E60B0000}"/>
    <cellStyle name="SubHeading" xfId="3046" xr:uid="{00000000-0005-0000-0000-0000E70B0000}"/>
    <cellStyle name="Subtotal" xfId="3047" xr:uid="{00000000-0005-0000-0000-0000E80B0000}"/>
    <cellStyle name="T" xfId="3048" xr:uid="{00000000-0005-0000-0000-0000E90B0000}"/>
    <cellStyle name="tcn" xfId="3049" xr:uid="{00000000-0005-0000-0000-0000EA0B0000}"/>
    <cellStyle name="th" xfId="3050" xr:uid="{00000000-0005-0000-0000-0000EB0B0000}"/>
    <cellStyle name="Title 10" xfId="3051" xr:uid="{00000000-0005-0000-0000-0000EC0B0000}"/>
    <cellStyle name="Title 11" xfId="3052" xr:uid="{00000000-0005-0000-0000-0000ED0B0000}"/>
    <cellStyle name="Title 12" xfId="3053" xr:uid="{00000000-0005-0000-0000-0000EE0B0000}"/>
    <cellStyle name="Title 13" xfId="3054" xr:uid="{00000000-0005-0000-0000-0000EF0B0000}"/>
    <cellStyle name="Title 2" xfId="3055" xr:uid="{00000000-0005-0000-0000-0000F00B0000}"/>
    <cellStyle name="Title 2 2" xfId="3056" xr:uid="{00000000-0005-0000-0000-0000F10B0000}"/>
    <cellStyle name="Title 2 3" xfId="3057" xr:uid="{00000000-0005-0000-0000-0000F20B0000}"/>
    <cellStyle name="Title 3" xfId="3058" xr:uid="{00000000-0005-0000-0000-0000F30B0000}"/>
    <cellStyle name="Title 4" xfId="3059" xr:uid="{00000000-0005-0000-0000-0000F40B0000}"/>
    <cellStyle name="Title 5" xfId="3060" xr:uid="{00000000-0005-0000-0000-0000F50B0000}"/>
    <cellStyle name="Title 6" xfId="3061" xr:uid="{00000000-0005-0000-0000-0000F60B0000}"/>
    <cellStyle name="Title 7" xfId="3062" xr:uid="{00000000-0005-0000-0000-0000F70B0000}"/>
    <cellStyle name="Title 8" xfId="3063" xr:uid="{00000000-0005-0000-0000-0000F80B0000}"/>
    <cellStyle name="Title 9" xfId="3064" xr:uid="{00000000-0005-0000-0000-0000F90B0000}"/>
    <cellStyle name="tn" xfId="3065" xr:uid="{00000000-0005-0000-0000-0000FA0B0000}"/>
    <cellStyle name="Total 10" xfId="3066" xr:uid="{00000000-0005-0000-0000-0000FB0B0000}"/>
    <cellStyle name="Total 11" xfId="3067" xr:uid="{00000000-0005-0000-0000-0000FC0B0000}"/>
    <cellStyle name="Total 12" xfId="3068" xr:uid="{00000000-0005-0000-0000-0000FD0B0000}"/>
    <cellStyle name="Total 13" xfId="3069" xr:uid="{00000000-0005-0000-0000-0000FE0B0000}"/>
    <cellStyle name="Total 2" xfId="3070" xr:uid="{00000000-0005-0000-0000-0000FF0B0000}"/>
    <cellStyle name="Total 2 2" xfId="3071" xr:uid="{00000000-0005-0000-0000-0000000C0000}"/>
    <cellStyle name="Total 2 3" xfId="3072" xr:uid="{00000000-0005-0000-0000-0000010C0000}"/>
    <cellStyle name="Total 3" xfId="3073" xr:uid="{00000000-0005-0000-0000-0000020C0000}"/>
    <cellStyle name="Total 4" xfId="3074" xr:uid="{00000000-0005-0000-0000-0000030C0000}"/>
    <cellStyle name="Total 5" xfId="3075" xr:uid="{00000000-0005-0000-0000-0000040C0000}"/>
    <cellStyle name="Total 6" xfId="3076" xr:uid="{00000000-0005-0000-0000-0000050C0000}"/>
    <cellStyle name="Total 7" xfId="3077" xr:uid="{00000000-0005-0000-0000-0000060C0000}"/>
    <cellStyle name="Total 8" xfId="3078" xr:uid="{00000000-0005-0000-0000-0000070C0000}"/>
    <cellStyle name="Total 9" xfId="3079" xr:uid="{00000000-0005-0000-0000-0000080C0000}"/>
    <cellStyle name="viet" xfId="3080" xr:uid="{00000000-0005-0000-0000-0000090C0000}"/>
    <cellStyle name="viet2" xfId="3081" xr:uid="{00000000-0005-0000-0000-00000A0C0000}"/>
    <cellStyle name="vnbo" xfId="3082" xr:uid="{00000000-0005-0000-0000-00000B0C0000}"/>
    <cellStyle name="vnhead1" xfId="3083" xr:uid="{00000000-0005-0000-0000-00000C0C0000}"/>
    <cellStyle name="vnhead2" xfId="3084" xr:uid="{00000000-0005-0000-0000-00000D0C0000}"/>
    <cellStyle name="vnhead3" xfId="3085" xr:uid="{00000000-0005-0000-0000-00000E0C0000}"/>
    <cellStyle name="vnhead4" xfId="3086" xr:uid="{00000000-0005-0000-0000-00000F0C0000}"/>
    <cellStyle name="vntxt1" xfId="3087" xr:uid="{00000000-0005-0000-0000-0000100C0000}"/>
    <cellStyle name="vntxt2" xfId="3088" xr:uid="{00000000-0005-0000-0000-0000110C0000}"/>
    <cellStyle name="Walutowy [0]_Invoices2001Slovakia" xfId="3089" xr:uid="{00000000-0005-0000-0000-0000120C0000}"/>
    <cellStyle name="Walutowy_Invoices2001Slovakia" xfId="3090" xr:uid="{00000000-0005-0000-0000-0000130C0000}"/>
    <cellStyle name="Warning Text 10" xfId="3091" xr:uid="{00000000-0005-0000-0000-0000140C0000}"/>
    <cellStyle name="Warning Text 11" xfId="3092" xr:uid="{00000000-0005-0000-0000-0000150C0000}"/>
    <cellStyle name="Warning Text 12" xfId="3093" xr:uid="{00000000-0005-0000-0000-0000160C0000}"/>
    <cellStyle name="Warning Text 13" xfId="3094" xr:uid="{00000000-0005-0000-0000-0000170C0000}"/>
    <cellStyle name="Warning Text 2" xfId="3095" xr:uid="{00000000-0005-0000-0000-0000180C0000}"/>
    <cellStyle name="Warning Text 2 2" xfId="3096" xr:uid="{00000000-0005-0000-0000-0000190C0000}"/>
    <cellStyle name="Warning Text 2 3" xfId="3097" xr:uid="{00000000-0005-0000-0000-00001A0C0000}"/>
    <cellStyle name="Warning Text 3" xfId="3098" xr:uid="{00000000-0005-0000-0000-00001B0C0000}"/>
    <cellStyle name="Warning Text 4" xfId="3099" xr:uid="{00000000-0005-0000-0000-00001C0C0000}"/>
    <cellStyle name="Warning Text 5" xfId="3100" xr:uid="{00000000-0005-0000-0000-00001D0C0000}"/>
    <cellStyle name="Warning Text 6" xfId="3101" xr:uid="{00000000-0005-0000-0000-00001E0C0000}"/>
    <cellStyle name="Warning Text 7" xfId="3102" xr:uid="{00000000-0005-0000-0000-00001F0C0000}"/>
    <cellStyle name="Warning Text 8" xfId="3103" xr:uid="{00000000-0005-0000-0000-0000200C0000}"/>
    <cellStyle name="Warning Text 9" xfId="3104" xr:uid="{00000000-0005-0000-0000-0000210C0000}"/>
    <cellStyle name="xuan" xfId="3105" xr:uid="{00000000-0005-0000-0000-0000220C0000}"/>
    <cellStyle name="アクセント 1" xfId="3106" xr:uid="{00000000-0005-0000-0000-0000230C0000}"/>
    <cellStyle name="アクセント 1 10" xfId="3107" xr:uid="{00000000-0005-0000-0000-0000240C0000}"/>
    <cellStyle name="アクセント 1 11" xfId="3108" xr:uid="{00000000-0005-0000-0000-0000250C0000}"/>
    <cellStyle name="アクセント 1 12" xfId="3109" xr:uid="{00000000-0005-0000-0000-0000260C0000}"/>
    <cellStyle name="アクセント 1 13" xfId="3110" xr:uid="{00000000-0005-0000-0000-0000270C0000}"/>
    <cellStyle name="アクセント 1 2" xfId="3111" xr:uid="{00000000-0005-0000-0000-0000280C0000}"/>
    <cellStyle name="アクセント 1 3" xfId="3112" xr:uid="{00000000-0005-0000-0000-0000290C0000}"/>
    <cellStyle name="アクセント 1 4" xfId="3113" xr:uid="{00000000-0005-0000-0000-00002A0C0000}"/>
    <cellStyle name="アクセント 1 5" xfId="3114" xr:uid="{00000000-0005-0000-0000-00002B0C0000}"/>
    <cellStyle name="アクセント 1 6" xfId="3115" xr:uid="{00000000-0005-0000-0000-00002C0C0000}"/>
    <cellStyle name="アクセント 1 7" xfId="3116" xr:uid="{00000000-0005-0000-0000-00002D0C0000}"/>
    <cellStyle name="アクセント 1 8" xfId="3117" xr:uid="{00000000-0005-0000-0000-00002E0C0000}"/>
    <cellStyle name="アクセント 1 9" xfId="3118" xr:uid="{00000000-0005-0000-0000-00002F0C0000}"/>
    <cellStyle name="アクセント 2" xfId="3119" xr:uid="{00000000-0005-0000-0000-0000300C0000}"/>
    <cellStyle name="アクセント 2 10" xfId="3120" xr:uid="{00000000-0005-0000-0000-0000310C0000}"/>
    <cellStyle name="アクセント 2 11" xfId="3121" xr:uid="{00000000-0005-0000-0000-0000320C0000}"/>
    <cellStyle name="アクセント 2 12" xfId="3122" xr:uid="{00000000-0005-0000-0000-0000330C0000}"/>
    <cellStyle name="アクセント 2 13" xfId="3123" xr:uid="{00000000-0005-0000-0000-0000340C0000}"/>
    <cellStyle name="アクセント 2 2" xfId="3124" xr:uid="{00000000-0005-0000-0000-0000350C0000}"/>
    <cellStyle name="アクセント 2 3" xfId="3125" xr:uid="{00000000-0005-0000-0000-0000360C0000}"/>
    <cellStyle name="アクセント 2 4" xfId="3126" xr:uid="{00000000-0005-0000-0000-0000370C0000}"/>
    <cellStyle name="アクセント 2 5" xfId="3127" xr:uid="{00000000-0005-0000-0000-0000380C0000}"/>
    <cellStyle name="アクセント 2 6" xfId="3128" xr:uid="{00000000-0005-0000-0000-0000390C0000}"/>
    <cellStyle name="アクセント 2 7" xfId="3129" xr:uid="{00000000-0005-0000-0000-00003A0C0000}"/>
    <cellStyle name="アクセント 2 8" xfId="3130" xr:uid="{00000000-0005-0000-0000-00003B0C0000}"/>
    <cellStyle name="アクセント 2 9" xfId="3131" xr:uid="{00000000-0005-0000-0000-00003C0C0000}"/>
    <cellStyle name="アクセント 3" xfId="3132" xr:uid="{00000000-0005-0000-0000-00003D0C0000}"/>
    <cellStyle name="アクセント 3 10" xfId="3133" xr:uid="{00000000-0005-0000-0000-00003E0C0000}"/>
    <cellStyle name="アクセント 3 11" xfId="3134" xr:uid="{00000000-0005-0000-0000-00003F0C0000}"/>
    <cellStyle name="アクセント 3 12" xfId="3135" xr:uid="{00000000-0005-0000-0000-0000400C0000}"/>
    <cellStyle name="アクセント 3 13" xfId="3136" xr:uid="{00000000-0005-0000-0000-0000410C0000}"/>
    <cellStyle name="アクセント 3 2" xfId="3137" xr:uid="{00000000-0005-0000-0000-0000420C0000}"/>
    <cellStyle name="アクセント 3 3" xfId="3138" xr:uid="{00000000-0005-0000-0000-0000430C0000}"/>
    <cellStyle name="アクセント 3 4" xfId="3139" xr:uid="{00000000-0005-0000-0000-0000440C0000}"/>
    <cellStyle name="アクセント 3 5" xfId="3140" xr:uid="{00000000-0005-0000-0000-0000450C0000}"/>
    <cellStyle name="アクセント 3 6" xfId="3141" xr:uid="{00000000-0005-0000-0000-0000460C0000}"/>
    <cellStyle name="アクセント 3 7" xfId="3142" xr:uid="{00000000-0005-0000-0000-0000470C0000}"/>
    <cellStyle name="アクセント 3 8" xfId="3143" xr:uid="{00000000-0005-0000-0000-0000480C0000}"/>
    <cellStyle name="アクセント 3 9" xfId="3144" xr:uid="{00000000-0005-0000-0000-0000490C0000}"/>
    <cellStyle name="アクセント 4" xfId="3145" xr:uid="{00000000-0005-0000-0000-00004A0C0000}"/>
    <cellStyle name="アクセント 4 10" xfId="3146" xr:uid="{00000000-0005-0000-0000-00004B0C0000}"/>
    <cellStyle name="アクセント 4 11" xfId="3147" xr:uid="{00000000-0005-0000-0000-00004C0C0000}"/>
    <cellStyle name="アクセント 4 12" xfId="3148" xr:uid="{00000000-0005-0000-0000-00004D0C0000}"/>
    <cellStyle name="アクセント 4 13" xfId="3149" xr:uid="{00000000-0005-0000-0000-00004E0C0000}"/>
    <cellStyle name="アクセント 4 2" xfId="3150" xr:uid="{00000000-0005-0000-0000-00004F0C0000}"/>
    <cellStyle name="アクセント 4 3" xfId="3151" xr:uid="{00000000-0005-0000-0000-0000500C0000}"/>
    <cellStyle name="アクセント 4 4" xfId="3152" xr:uid="{00000000-0005-0000-0000-0000510C0000}"/>
    <cellStyle name="アクセント 4 5" xfId="3153" xr:uid="{00000000-0005-0000-0000-0000520C0000}"/>
    <cellStyle name="アクセント 4 6" xfId="3154" xr:uid="{00000000-0005-0000-0000-0000530C0000}"/>
    <cellStyle name="アクセント 4 7" xfId="3155" xr:uid="{00000000-0005-0000-0000-0000540C0000}"/>
    <cellStyle name="アクセント 4 8" xfId="3156" xr:uid="{00000000-0005-0000-0000-0000550C0000}"/>
    <cellStyle name="アクセント 4 9" xfId="3157" xr:uid="{00000000-0005-0000-0000-0000560C0000}"/>
    <cellStyle name="アクセント 5" xfId="3158" xr:uid="{00000000-0005-0000-0000-0000570C0000}"/>
    <cellStyle name="アクセント 5 10" xfId="3159" xr:uid="{00000000-0005-0000-0000-0000580C0000}"/>
    <cellStyle name="アクセント 5 11" xfId="3160" xr:uid="{00000000-0005-0000-0000-0000590C0000}"/>
    <cellStyle name="アクセント 5 12" xfId="3161" xr:uid="{00000000-0005-0000-0000-00005A0C0000}"/>
    <cellStyle name="アクセント 5 13" xfId="3162" xr:uid="{00000000-0005-0000-0000-00005B0C0000}"/>
    <cellStyle name="アクセント 5 2" xfId="3163" xr:uid="{00000000-0005-0000-0000-00005C0C0000}"/>
    <cellStyle name="アクセント 5 3" xfId="3164" xr:uid="{00000000-0005-0000-0000-00005D0C0000}"/>
    <cellStyle name="アクセント 5 4" xfId="3165" xr:uid="{00000000-0005-0000-0000-00005E0C0000}"/>
    <cellStyle name="アクセント 5 5" xfId="3166" xr:uid="{00000000-0005-0000-0000-00005F0C0000}"/>
    <cellStyle name="アクセント 5 6" xfId="3167" xr:uid="{00000000-0005-0000-0000-0000600C0000}"/>
    <cellStyle name="アクセント 5 7" xfId="3168" xr:uid="{00000000-0005-0000-0000-0000610C0000}"/>
    <cellStyle name="アクセント 5 8" xfId="3169" xr:uid="{00000000-0005-0000-0000-0000620C0000}"/>
    <cellStyle name="アクセント 5 9" xfId="3170" xr:uid="{00000000-0005-0000-0000-0000630C0000}"/>
    <cellStyle name="アクセント 6" xfId="3171" xr:uid="{00000000-0005-0000-0000-0000640C0000}"/>
    <cellStyle name="アクセント 6 10" xfId="3172" xr:uid="{00000000-0005-0000-0000-0000650C0000}"/>
    <cellStyle name="アクセント 6 11" xfId="3173" xr:uid="{00000000-0005-0000-0000-0000660C0000}"/>
    <cellStyle name="アクセント 6 12" xfId="3174" xr:uid="{00000000-0005-0000-0000-0000670C0000}"/>
    <cellStyle name="アクセント 6 13" xfId="3175" xr:uid="{00000000-0005-0000-0000-0000680C0000}"/>
    <cellStyle name="アクセント 6 2" xfId="3176" xr:uid="{00000000-0005-0000-0000-0000690C0000}"/>
    <cellStyle name="アクセント 6 3" xfId="3177" xr:uid="{00000000-0005-0000-0000-00006A0C0000}"/>
    <cellStyle name="アクセント 6 4" xfId="3178" xr:uid="{00000000-0005-0000-0000-00006B0C0000}"/>
    <cellStyle name="アクセント 6 5" xfId="3179" xr:uid="{00000000-0005-0000-0000-00006C0C0000}"/>
    <cellStyle name="アクセント 6 6" xfId="3180" xr:uid="{00000000-0005-0000-0000-00006D0C0000}"/>
    <cellStyle name="アクセント 6 7" xfId="3181" xr:uid="{00000000-0005-0000-0000-00006E0C0000}"/>
    <cellStyle name="アクセント 6 8" xfId="3182" xr:uid="{00000000-0005-0000-0000-00006F0C0000}"/>
    <cellStyle name="アクセント 6 9" xfId="3183" xr:uid="{00000000-0005-0000-0000-0000700C0000}"/>
    <cellStyle name="スタイル 1" xfId="3184" xr:uid="{00000000-0005-0000-0000-0000710C0000}"/>
    <cellStyle name="タイトル" xfId="3185" xr:uid="{00000000-0005-0000-0000-0000720C0000}"/>
    <cellStyle name="タイトル 10" xfId="3186" xr:uid="{00000000-0005-0000-0000-0000730C0000}"/>
    <cellStyle name="タイトル 11" xfId="3187" xr:uid="{00000000-0005-0000-0000-0000740C0000}"/>
    <cellStyle name="タイトル 12" xfId="3188" xr:uid="{00000000-0005-0000-0000-0000750C0000}"/>
    <cellStyle name="タイトル 13" xfId="3189" xr:uid="{00000000-0005-0000-0000-0000760C0000}"/>
    <cellStyle name="タイトル 2" xfId="3190" xr:uid="{00000000-0005-0000-0000-0000770C0000}"/>
    <cellStyle name="タイトル 3" xfId="3191" xr:uid="{00000000-0005-0000-0000-0000780C0000}"/>
    <cellStyle name="タイトル 4" xfId="3192" xr:uid="{00000000-0005-0000-0000-0000790C0000}"/>
    <cellStyle name="タイトル 5" xfId="3193" xr:uid="{00000000-0005-0000-0000-00007A0C0000}"/>
    <cellStyle name="タイトル 6" xfId="3194" xr:uid="{00000000-0005-0000-0000-00007B0C0000}"/>
    <cellStyle name="タイトル 7" xfId="3195" xr:uid="{00000000-0005-0000-0000-00007C0C0000}"/>
    <cellStyle name="タイトル 8" xfId="3196" xr:uid="{00000000-0005-0000-0000-00007D0C0000}"/>
    <cellStyle name="タイトル 9" xfId="3197" xr:uid="{00000000-0005-0000-0000-00007E0C0000}"/>
    <cellStyle name="チェック セル" xfId="3198" xr:uid="{00000000-0005-0000-0000-00007F0C0000}"/>
    <cellStyle name="チェック セル 10" xfId="3199" xr:uid="{00000000-0005-0000-0000-0000800C0000}"/>
    <cellStyle name="チェック セル 11" xfId="3200" xr:uid="{00000000-0005-0000-0000-0000810C0000}"/>
    <cellStyle name="チェック セル 12" xfId="3201" xr:uid="{00000000-0005-0000-0000-0000820C0000}"/>
    <cellStyle name="チェック セル 13" xfId="3202" xr:uid="{00000000-0005-0000-0000-0000830C0000}"/>
    <cellStyle name="チェック セル 2" xfId="3203" xr:uid="{00000000-0005-0000-0000-0000840C0000}"/>
    <cellStyle name="チェック セル 3" xfId="3204" xr:uid="{00000000-0005-0000-0000-0000850C0000}"/>
    <cellStyle name="チェック セル 4" xfId="3205" xr:uid="{00000000-0005-0000-0000-0000860C0000}"/>
    <cellStyle name="チェック セル 5" xfId="3206" xr:uid="{00000000-0005-0000-0000-0000870C0000}"/>
    <cellStyle name="チェック セル 6" xfId="3207" xr:uid="{00000000-0005-0000-0000-0000880C0000}"/>
    <cellStyle name="チェック セル 7" xfId="3208" xr:uid="{00000000-0005-0000-0000-0000890C0000}"/>
    <cellStyle name="チェック セル 8" xfId="3209" xr:uid="{00000000-0005-0000-0000-00008A0C0000}"/>
    <cellStyle name="チェック セル 9" xfId="3210" xr:uid="{00000000-0005-0000-0000-00008B0C0000}"/>
    <cellStyle name="チェック セル_Xl0000042" xfId="3211" xr:uid="{00000000-0005-0000-0000-00008C0C0000}"/>
    <cellStyle name="どちらでもない" xfId="3212" xr:uid="{00000000-0005-0000-0000-00008D0C0000}"/>
    <cellStyle name="どちらでもない 10" xfId="3213" xr:uid="{00000000-0005-0000-0000-00008E0C0000}"/>
    <cellStyle name="どちらでもない 11" xfId="3214" xr:uid="{00000000-0005-0000-0000-00008F0C0000}"/>
    <cellStyle name="どちらでもない 12" xfId="3215" xr:uid="{00000000-0005-0000-0000-0000900C0000}"/>
    <cellStyle name="どちらでもない 13" xfId="3216" xr:uid="{00000000-0005-0000-0000-0000910C0000}"/>
    <cellStyle name="どちらでもない 2" xfId="3217" xr:uid="{00000000-0005-0000-0000-0000920C0000}"/>
    <cellStyle name="どちらでもない 3" xfId="3218" xr:uid="{00000000-0005-0000-0000-0000930C0000}"/>
    <cellStyle name="どちらでもない 4" xfId="3219" xr:uid="{00000000-0005-0000-0000-0000940C0000}"/>
    <cellStyle name="どちらでもない 5" xfId="3220" xr:uid="{00000000-0005-0000-0000-0000950C0000}"/>
    <cellStyle name="どちらでもない 6" xfId="3221" xr:uid="{00000000-0005-0000-0000-0000960C0000}"/>
    <cellStyle name="どちらでもない 7" xfId="3222" xr:uid="{00000000-0005-0000-0000-0000970C0000}"/>
    <cellStyle name="どちらでもない 8" xfId="3223" xr:uid="{00000000-0005-0000-0000-0000980C0000}"/>
    <cellStyle name="どちらでもない 9" xfId="3224" xr:uid="{00000000-0005-0000-0000-0000990C0000}"/>
    <cellStyle name="ハイパーリンク_JOF Expense 0107 (confirm)" xfId="3225" xr:uid="{00000000-0005-0000-0000-00009A0C0000}"/>
    <cellStyle name="メモ" xfId="3226" xr:uid="{00000000-0005-0000-0000-00009B0C0000}"/>
    <cellStyle name="リンク セル" xfId="3227" xr:uid="{00000000-0005-0000-0000-00009C0C0000}"/>
    <cellStyle name="リンク セル 10" xfId="3228" xr:uid="{00000000-0005-0000-0000-00009D0C0000}"/>
    <cellStyle name="リンク セル 11" xfId="3229" xr:uid="{00000000-0005-0000-0000-00009E0C0000}"/>
    <cellStyle name="リンク セル 12" xfId="3230" xr:uid="{00000000-0005-0000-0000-00009F0C0000}"/>
    <cellStyle name="リンク セル 13" xfId="3231" xr:uid="{00000000-0005-0000-0000-0000A00C0000}"/>
    <cellStyle name="リンク セル 2" xfId="3232" xr:uid="{00000000-0005-0000-0000-0000A10C0000}"/>
    <cellStyle name="リンク セル 3" xfId="3233" xr:uid="{00000000-0005-0000-0000-0000A20C0000}"/>
    <cellStyle name="リンク セル 4" xfId="3234" xr:uid="{00000000-0005-0000-0000-0000A30C0000}"/>
    <cellStyle name="リンク セル 5" xfId="3235" xr:uid="{00000000-0005-0000-0000-0000A40C0000}"/>
    <cellStyle name="リンク セル 6" xfId="3236" xr:uid="{00000000-0005-0000-0000-0000A50C0000}"/>
    <cellStyle name="リンク セル 7" xfId="3237" xr:uid="{00000000-0005-0000-0000-0000A60C0000}"/>
    <cellStyle name="リンク セル 8" xfId="3238" xr:uid="{00000000-0005-0000-0000-0000A70C0000}"/>
    <cellStyle name="リンク セル 9" xfId="3239" xr:uid="{00000000-0005-0000-0000-0000A80C0000}"/>
    <cellStyle name="リンク セル_Xl0000042" xfId="3240" xr:uid="{00000000-0005-0000-0000-0000A90C0000}"/>
    <cellStyle name=" [0.00]_ Att. 1- Cover" xfId="3241" xr:uid="{00000000-0005-0000-0000-0000AA0C0000}"/>
    <cellStyle name="_ Att. 1- Cover" xfId="3242" xr:uid="{00000000-0005-0000-0000-0000AB0C0000}"/>
    <cellStyle name="?_ Att. 1- Cover" xfId="3243" xr:uid="{00000000-0005-0000-0000-0000AC0C0000}"/>
    <cellStyle name="똿뗦먛귟 [0.00]_PRODUCT DETAIL Q1" xfId="3244" xr:uid="{00000000-0005-0000-0000-0000AD0C0000}"/>
    <cellStyle name="똿뗦먛귟_PRODUCT DETAIL Q1" xfId="3245" xr:uid="{00000000-0005-0000-0000-0000AE0C0000}"/>
    <cellStyle name="믅됞 [0.00]_PRODUCT DETAIL Q1" xfId="3246" xr:uid="{00000000-0005-0000-0000-0000AF0C0000}"/>
    <cellStyle name="믅됞_PRODUCT DETAIL Q1" xfId="3247" xr:uid="{00000000-0005-0000-0000-0000B00C0000}"/>
    <cellStyle name="백분율_95" xfId="3248" xr:uid="{00000000-0005-0000-0000-0000B10C0000}"/>
    <cellStyle name="뷭?_BOOKSHIP" xfId="3249" xr:uid="{00000000-0005-0000-0000-0000B20C0000}"/>
    <cellStyle name="콤마 [0]_1202" xfId="3250" xr:uid="{00000000-0005-0000-0000-0000B30C0000}"/>
    <cellStyle name="콤마_1202" xfId="3251" xr:uid="{00000000-0005-0000-0000-0000B40C0000}"/>
    <cellStyle name="통화 [0]_1202" xfId="3252" xr:uid="{00000000-0005-0000-0000-0000B50C0000}"/>
    <cellStyle name="통화_1202" xfId="3253" xr:uid="{00000000-0005-0000-0000-0000B60C0000}"/>
    <cellStyle name="표준_(정보부문)월별인원계획" xfId="3254" xr:uid="{00000000-0005-0000-0000-0000B70C0000}"/>
    <cellStyle name="一般_00Q3902REV.1" xfId="3255" xr:uid="{00000000-0005-0000-0000-0000B80C0000}"/>
    <cellStyle name="入力" xfId="3256" xr:uid="{00000000-0005-0000-0000-0000B90C0000}"/>
    <cellStyle name="入力 10" xfId="3257" xr:uid="{00000000-0005-0000-0000-0000BA0C0000}"/>
    <cellStyle name="入力 11" xfId="3258" xr:uid="{00000000-0005-0000-0000-0000BB0C0000}"/>
    <cellStyle name="入力 12" xfId="3259" xr:uid="{00000000-0005-0000-0000-0000BC0C0000}"/>
    <cellStyle name="入力 13" xfId="3260" xr:uid="{00000000-0005-0000-0000-0000BD0C0000}"/>
    <cellStyle name="入力 2" xfId="3261" xr:uid="{00000000-0005-0000-0000-0000BE0C0000}"/>
    <cellStyle name="入力 3" xfId="3262" xr:uid="{00000000-0005-0000-0000-0000BF0C0000}"/>
    <cellStyle name="入力 4" xfId="3263" xr:uid="{00000000-0005-0000-0000-0000C00C0000}"/>
    <cellStyle name="入力 5" xfId="3264" xr:uid="{00000000-0005-0000-0000-0000C10C0000}"/>
    <cellStyle name="入力 6" xfId="3265" xr:uid="{00000000-0005-0000-0000-0000C20C0000}"/>
    <cellStyle name="入力 7" xfId="3266" xr:uid="{00000000-0005-0000-0000-0000C30C0000}"/>
    <cellStyle name="入力 8" xfId="3267" xr:uid="{00000000-0005-0000-0000-0000C40C0000}"/>
    <cellStyle name="入力 9" xfId="3268" xr:uid="{00000000-0005-0000-0000-0000C50C0000}"/>
    <cellStyle name="入力_Xl0000042" xfId="3269" xr:uid="{00000000-0005-0000-0000-0000C60C0000}"/>
    <cellStyle name="出力" xfId="3270" xr:uid="{00000000-0005-0000-0000-0000C70C0000}"/>
    <cellStyle name="出力 10" xfId="3271" xr:uid="{00000000-0005-0000-0000-0000C80C0000}"/>
    <cellStyle name="出力 11" xfId="3272" xr:uid="{00000000-0005-0000-0000-0000C90C0000}"/>
    <cellStyle name="出力 12" xfId="3273" xr:uid="{00000000-0005-0000-0000-0000CA0C0000}"/>
    <cellStyle name="出力 13" xfId="3274" xr:uid="{00000000-0005-0000-0000-0000CB0C0000}"/>
    <cellStyle name="出力 2" xfId="3275" xr:uid="{00000000-0005-0000-0000-0000CC0C0000}"/>
    <cellStyle name="出力 3" xfId="3276" xr:uid="{00000000-0005-0000-0000-0000CD0C0000}"/>
    <cellStyle name="出力 4" xfId="3277" xr:uid="{00000000-0005-0000-0000-0000CE0C0000}"/>
    <cellStyle name="出力 5" xfId="3278" xr:uid="{00000000-0005-0000-0000-0000CF0C0000}"/>
    <cellStyle name="出力 6" xfId="3279" xr:uid="{00000000-0005-0000-0000-0000D00C0000}"/>
    <cellStyle name="出力 7" xfId="3280" xr:uid="{00000000-0005-0000-0000-0000D10C0000}"/>
    <cellStyle name="出力 8" xfId="3281" xr:uid="{00000000-0005-0000-0000-0000D20C0000}"/>
    <cellStyle name="出力 9" xfId="3282" xr:uid="{00000000-0005-0000-0000-0000D30C0000}"/>
    <cellStyle name="出力_Xl0000042" xfId="3283" xr:uid="{00000000-0005-0000-0000-0000D40C0000}"/>
    <cellStyle name="千分位[0]_00Q3902REV.1" xfId="3284" xr:uid="{00000000-0005-0000-0000-0000D50C0000}"/>
    <cellStyle name="千分位_00Q3902REV.1" xfId="3285" xr:uid="{00000000-0005-0000-0000-0000D60C0000}"/>
    <cellStyle name="悪い" xfId="3286" xr:uid="{00000000-0005-0000-0000-0000D70C0000}"/>
    <cellStyle name="悪い 10" xfId="3287" xr:uid="{00000000-0005-0000-0000-0000D80C0000}"/>
    <cellStyle name="悪い 11" xfId="3288" xr:uid="{00000000-0005-0000-0000-0000D90C0000}"/>
    <cellStyle name="悪い 12" xfId="3289" xr:uid="{00000000-0005-0000-0000-0000DA0C0000}"/>
    <cellStyle name="悪い 13" xfId="3290" xr:uid="{00000000-0005-0000-0000-0000DB0C0000}"/>
    <cellStyle name="悪い 2" xfId="3291" xr:uid="{00000000-0005-0000-0000-0000DC0C0000}"/>
    <cellStyle name="悪い 3" xfId="3292" xr:uid="{00000000-0005-0000-0000-0000DD0C0000}"/>
    <cellStyle name="悪い 4" xfId="3293" xr:uid="{00000000-0005-0000-0000-0000DE0C0000}"/>
    <cellStyle name="悪い 5" xfId="3294" xr:uid="{00000000-0005-0000-0000-0000DF0C0000}"/>
    <cellStyle name="悪い 6" xfId="3295" xr:uid="{00000000-0005-0000-0000-0000E00C0000}"/>
    <cellStyle name="悪い 7" xfId="3296" xr:uid="{00000000-0005-0000-0000-0000E10C0000}"/>
    <cellStyle name="悪い 8" xfId="3297" xr:uid="{00000000-0005-0000-0000-0000E20C0000}"/>
    <cellStyle name="悪い 9" xfId="3298" xr:uid="{00000000-0005-0000-0000-0000E30C0000}"/>
    <cellStyle name="桁区切り [0.00]_Rev T3-07 for FSJ (from TuDTN 06Apr07)" xfId="3299" xr:uid="{00000000-0005-0000-0000-0000E40C0000}"/>
    <cellStyle name="桁区切り 2" xfId="3300" xr:uid="{00000000-0005-0000-0000-0000E50C0000}"/>
    <cellStyle name="桁区切り_FSJ_Payment_Feb(1).06__add_Osaka_" xfId="3301" xr:uid="{00000000-0005-0000-0000-0000E60C0000}"/>
    <cellStyle name="標準 2" xfId="3302" xr:uid="{00000000-0005-0000-0000-0000E70C0000}"/>
    <cellStyle name="標準_BOQ-08" xfId="3303" xr:uid="{00000000-0005-0000-0000-0000E80C0000}"/>
    <cellStyle name="良い" xfId="3304" xr:uid="{00000000-0005-0000-0000-0000E90C0000}"/>
    <cellStyle name="良い 10" xfId="3305" xr:uid="{00000000-0005-0000-0000-0000EA0C0000}"/>
    <cellStyle name="良い 11" xfId="3306" xr:uid="{00000000-0005-0000-0000-0000EB0C0000}"/>
    <cellStyle name="良い 12" xfId="3307" xr:uid="{00000000-0005-0000-0000-0000EC0C0000}"/>
    <cellStyle name="良い 13" xfId="3308" xr:uid="{00000000-0005-0000-0000-0000ED0C0000}"/>
    <cellStyle name="良い 2" xfId="3309" xr:uid="{00000000-0005-0000-0000-0000EE0C0000}"/>
    <cellStyle name="良い 3" xfId="3310" xr:uid="{00000000-0005-0000-0000-0000EF0C0000}"/>
    <cellStyle name="良い 4" xfId="3311" xr:uid="{00000000-0005-0000-0000-0000F00C0000}"/>
    <cellStyle name="良い 5" xfId="3312" xr:uid="{00000000-0005-0000-0000-0000F10C0000}"/>
    <cellStyle name="良い 6" xfId="3313" xr:uid="{00000000-0005-0000-0000-0000F20C0000}"/>
    <cellStyle name="良い 7" xfId="3314" xr:uid="{00000000-0005-0000-0000-0000F30C0000}"/>
    <cellStyle name="良い 8" xfId="3315" xr:uid="{00000000-0005-0000-0000-0000F40C0000}"/>
    <cellStyle name="良い 9" xfId="3316" xr:uid="{00000000-0005-0000-0000-0000F50C0000}"/>
    <cellStyle name="見出し 1" xfId="3317" xr:uid="{00000000-0005-0000-0000-0000F60C0000}"/>
    <cellStyle name="見出し 1 10" xfId="3318" xr:uid="{00000000-0005-0000-0000-0000F70C0000}"/>
    <cellStyle name="見出し 1 11" xfId="3319" xr:uid="{00000000-0005-0000-0000-0000F80C0000}"/>
    <cellStyle name="見出し 1 12" xfId="3320" xr:uid="{00000000-0005-0000-0000-0000F90C0000}"/>
    <cellStyle name="見出し 1 13" xfId="3321" xr:uid="{00000000-0005-0000-0000-0000FA0C0000}"/>
    <cellStyle name="見出し 1 2" xfId="3322" xr:uid="{00000000-0005-0000-0000-0000FB0C0000}"/>
    <cellStyle name="見出し 1 3" xfId="3323" xr:uid="{00000000-0005-0000-0000-0000FC0C0000}"/>
    <cellStyle name="見出し 1 4" xfId="3324" xr:uid="{00000000-0005-0000-0000-0000FD0C0000}"/>
    <cellStyle name="見出し 1 5" xfId="3325" xr:uid="{00000000-0005-0000-0000-0000FE0C0000}"/>
    <cellStyle name="見出し 1 6" xfId="3326" xr:uid="{00000000-0005-0000-0000-0000FF0C0000}"/>
    <cellStyle name="見出し 1 7" xfId="3327" xr:uid="{00000000-0005-0000-0000-0000000D0000}"/>
    <cellStyle name="見出し 1 8" xfId="3328" xr:uid="{00000000-0005-0000-0000-0000010D0000}"/>
    <cellStyle name="見出し 1 9" xfId="3329" xr:uid="{00000000-0005-0000-0000-0000020D0000}"/>
    <cellStyle name="見出し 1_Xl0000042" xfId="3330" xr:uid="{00000000-0005-0000-0000-0000030D0000}"/>
    <cellStyle name="見出し 2" xfId="3331" xr:uid="{00000000-0005-0000-0000-0000040D0000}"/>
    <cellStyle name="見出し 2 10" xfId="3332" xr:uid="{00000000-0005-0000-0000-0000050D0000}"/>
    <cellStyle name="見出し 2 11" xfId="3333" xr:uid="{00000000-0005-0000-0000-0000060D0000}"/>
    <cellStyle name="見出し 2 12" xfId="3334" xr:uid="{00000000-0005-0000-0000-0000070D0000}"/>
    <cellStyle name="見出し 2 13" xfId="3335" xr:uid="{00000000-0005-0000-0000-0000080D0000}"/>
    <cellStyle name="見出し 2 2" xfId="3336" xr:uid="{00000000-0005-0000-0000-0000090D0000}"/>
    <cellStyle name="見出し 2 3" xfId="3337" xr:uid="{00000000-0005-0000-0000-00000A0D0000}"/>
    <cellStyle name="見出し 2 4" xfId="3338" xr:uid="{00000000-0005-0000-0000-00000B0D0000}"/>
    <cellStyle name="見出し 2 5" xfId="3339" xr:uid="{00000000-0005-0000-0000-00000C0D0000}"/>
    <cellStyle name="見出し 2 6" xfId="3340" xr:uid="{00000000-0005-0000-0000-00000D0D0000}"/>
    <cellStyle name="見出し 2 7" xfId="3341" xr:uid="{00000000-0005-0000-0000-00000E0D0000}"/>
    <cellStyle name="見出し 2 8" xfId="3342" xr:uid="{00000000-0005-0000-0000-00000F0D0000}"/>
    <cellStyle name="見出し 2 9" xfId="3343" xr:uid="{00000000-0005-0000-0000-0000100D0000}"/>
    <cellStyle name="見出し 2_Xl0000042" xfId="3344" xr:uid="{00000000-0005-0000-0000-0000110D0000}"/>
    <cellStyle name="見出し 3" xfId="3345" xr:uid="{00000000-0005-0000-0000-0000120D0000}"/>
    <cellStyle name="見出し 3 10" xfId="3346" xr:uid="{00000000-0005-0000-0000-0000130D0000}"/>
    <cellStyle name="見出し 3 11" xfId="3347" xr:uid="{00000000-0005-0000-0000-0000140D0000}"/>
    <cellStyle name="見出し 3 12" xfId="3348" xr:uid="{00000000-0005-0000-0000-0000150D0000}"/>
    <cellStyle name="見出し 3 13" xfId="3349" xr:uid="{00000000-0005-0000-0000-0000160D0000}"/>
    <cellStyle name="見出し 3 2" xfId="3350" xr:uid="{00000000-0005-0000-0000-0000170D0000}"/>
    <cellStyle name="見出し 3 3" xfId="3351" xr:uid="{00000000-0005-0000-0000-0000180D0000}"/>
    <cellStyle name="見出し 3 4" xfId="3352" xr:uid="{00000000-0005-0000-0000-0000190D0000}"/>
    <cellStyle name="見出し 3 5" xfId="3353" xr:uid="{00000000-0005-0000-0000-00001A0D0000}"/>
    <cellStyle name="見出し 3 6" xfId="3354" xr:uid="{00000000-0005-0000-0000-00001B0D0000}"/>
    <cellStyle name="見出し 3 7" xfId="3355" xr:uid="{00000000-0005-0000-0000-00001C0D0000}"/>
    <cellStyle name="見出し 3 8" xfId="3356" xr:uid="{00000000-0005-0000-0000-00001D0D0000}"/>
    <cellStyle name="見出し 3 9" xfId="3357" xr:uid="{00000000-0005-0000-0000-00001E0D0000}"/>
    <cellStyle name="見出し 3_Xl0000042" xfId="3358" xr:uid="{00000000-0005-0000-0000-00001F0D0000}"/>
    <cellStyle name="見出し 4" xfId="3359" xr:uid="{00000000-0005-0000-0000-0000200D0000}"/>
    <cellStyle name="見出し 4 10" xfId="3360" xr:uid="{00000000-0005-0000-0000-0000210D0000}"/>
    <cellStyle name="見出し 4 11" xfId="3361" xr:uid="{00000000-0005-0000-0000-0000220D0000}"/>
    <cellStyle name="見出し 4 12" xfId="3362" xr:uid="{00000000-0005-0000-0000-0000230D0000}"/>
    <cellStyle name="見出し 4 13" xfId="3363" xr:uid="{00000000-0005-0000-0000-0000240D0000}"/>
    <cellStyle name="見出し 4 2" xfId="3364" xr:uid="{00000000-0005-0000-0000-0000250D0000}"/>
    <cellStyle name="見出し 4 3" xfId="3365" xr:uid="{00000000-0005-0000-0000-0000260D0000}"/>
    <cellStyle name="見出し 4 4" xfId="3366" xr:uid="{00000000-0005-0000-0000-0000270D0000}"/>
    <cellStyle name="見出し 4 5" xfId="3367" xr:uid="{00000000-0005-0000-0000-0000280D0000}"/>
    <cellStyle name="見出し 4 6" xfId="3368" xr:uid="{00000000-0005-0000-0000-0000290D0000}"/>
    <cellStyle name="見出し 4 7" xfId="3369" xr:uid="{00000000-0005-0000-0000-00002A0D0000}"/>
    <cellStyle name="見出し 4 8" xfId="3370" xr:uid="{00000000-0005-0000-0000-00002B0D0000}"/>
    <cellStyle name="見出し 4 9" xfId="3371" xr:uid="{00000000-0005-0000-0000-00002C0D0000}"/>
    <cellStyle name="計算" xfId="3372" xr:uid="{00000000-0005-0000-0000-00002D0D0000}"/>
    <cellStyle name="計算 10" xfId="3373" xr:uid="{00000000-0005-0000-0000-00002E0D0000}"/>
    <cellStyle name="計算 11" xfId="3374" xr:uid="{00000000-0005-0000-0000-00002F0D0000}"/>
    <cellStyle name="計算 12" xfId="3375" xr:uid="{00000000-0005-0000-0000-0000300D0000}"/>
    <cellStyle name="計算 13" xfId="3376" xr:uid="{00000000-0005-0000-0000-0000310D0000}"/>
    <cellStyle name="計算 2" xfId="3377" xr:uid="{00000000-0005-0000-0000-0000320D0000}"/>
    <cellStyle name="計算 3" xfId="3378" xr:uid="{00000000-0005-0000-0000-0000330D0000}"/>
    <cellStyle name="計算 4" xfId="3379" xr:uid="{00000000-0005-0000-0000-0000340D0000}"/>
    <cellStyle name="計算 5" xfId="3380" xr:uid="{00000000-0005-0000-0000-0000350D0000}"/>
    <cellStyle name="計算 6" xfId="3381" xr:uid="{00000000-0005-0000-0000-0000360D0000}"/>
    <cellStyle name="計算 7" xfId="3382" xr:uid="{00000000-0005-0000-0000-0000370D0000}"/>
    <cellStyle name="計算 8" xfId="3383" xr:uid="{00000000-0005-0000-0000-0000380D0000}"/>
    <cellStyle name="計算 9" xfId="3384" xr:uid="{00000000-0005-0000-0000-0000390D0000}"/>
    <cellStyle name="計算_Xl0000042" xfId="3385" xr:uid="{00000000-0005-0000-0000-00003A0D0000}"/>
    <cellStyle name="説明文" xfId="3386" xr:uid="{00000000-0005-0000-0000-00003B0D0000}"/>
    <cellStyle name="説明文 10" xfId="3387" xr:uid="{00000000-0005-0000-0000-00003C0D0000}"/>
    <cellStyle name="説明文 11" xfId="3388" xr:uid="{00000000-0005-0000-0000-00003D0D0000}"/>
    <cellStyle name="説明文 12" xfId="3389" xr:uid="{00000000-0005-0000-0000-00003E0D0000}"/>
    <cellStyle name="説明文 13" xfId="3390" xr:uid="{00000000-0005-0000-0000-00003F0D0000}"/>
    <cellStyle name="説明文 2" xfId="3391" xr:uid="{00000000-0005-0000-0000-0000400D0000}"/>
    <cellStyle name="説明文 3" xfId="3392" xr:uid="{00000000-0005-0000-0000-0000410D0000}"/>
    <cellStyle name="説明文 4" xfId="3393" xr:uid="{00000000-0005-0000-0000-0000420D0000}"/>
    <cellStyle name="説明文 5" xfId="3394" xr:uid="{00000000-0005-0000-0000-0000430D0000}"/>
    <cellStyle name="説明文 6" xfId="3395" xr:uid="{00000000-0005-0000-0000-0000440D0000}"/>
    <cellStyle name="説明文 7" xfId="3396" xr:uid="{00000000-0005-0000-0000-0000450D0000}"/>
    <cellStyle name="説明文 8" xfId="3397" xr:uid="{00000000-0005-0000-0000-0000460D0000}"/>
    <cellStyle name="説明文 9" xfId="3398" xr:uid="{00000000-0005-0000-0000-0000470D0000}"/>
    <cellStyle name="警告文" xfId="3399" xr:uid="{00000000-0005-0000-0000-0000480D0000}"/>
    <cellStyle name="警告文 10" xfId="3400" xr:uid="{00000000-0005-0000-0000-0000490D0000}"/>
    <cellStyle name="警告文 11" xfId="3401" xr:uid="{00000000-0005-0000-0000-00004A0D0000}"/>
    <cellStyle name="警告文 12" xfId="3402" xr:uid="{00000000-0005-0000-0000-00004B0D0000}"/>
    <cellStyle name="警告文 13" xfId="3403" xr:uid="{00000000-0005-0000-0000-00004C0D0000}"/>
    <cellStyle name="警告文 2" xfId="3404" xr:uid="{00000000-0005-0000-0000-00004D0D0000}"/>
    <cellStyle name="警告文 3" xfId="3405" xr:uid="{00000000-0005-0000-0000-00004E0D0000}"/>
    <cellStyle name="警告文 4" xfId="3406" xr:uid="{00000000-0005-0000-0000-00004F0D0000}"/>
    <cellStyle name="警告文 5" xfId="3407" xr:uid="{00000000-0005-0000-0000-0000500D0000}"/>
    <cellStyle name="警告文 6" xfId="3408" xr:uid="{00000000-0005-0000-0000-0000510D0000}"/>
    <cellStyle name="警告文 7" xfId="3409" xr:uid="{00000000-0005-0000-0000-0000520D0000}"/>
    <cellStyle name="警告文 8" xfId="3410" xr:uid="{00000000-0005-0000-0000-0000530D0000}"/>
    <cellStyle name="警告文 9" xfId="3411" xr:uid="{00000000-0005-0000-0000-0000540D0000}"/>
    <cellStyle name="貨幣 [0]_00Q3902REV.1" xfId="3412" xr:uid="{00000000-0005-0000-0000-0000550D0000}"/>
    <cellStyle name="貨幣[0]_1-99" xfId="3413" xr:uid="{00000000-0005-0000-0000-0000560D0000}"/>
    <cellStyle name="貨幣_00Q3902REV.1" xfId="3414" xr:uid="{00000000-0005-0000-0000-0000570D0000}"/>
    <cellStyle name="集計" xfId="3415" xr:uid="{00000000-0005-0000-0000-0000580D0000}"/>
    <cellStyle name="集計 10" xfId="3416" xr:uid="{00000000-0005-0000-0000-0000590D0000}"/>
    <cellStyle name="集計 11" xfId="3417" xr:uid="{00000000-0005-0000-0000-00005A0D0000}"/>
    <cellStyle name="集計 12" xfId="3418" xr:uid="{00000000-0005-0000-0000-00005B0D0000}"/>
    <cellStyle name="集計 13" xfId="3419" xr:uid="{00000000-0005-0000-0000-00005C0D0000}"/>
    <cellStyle name="集計 2" xfId="3420" xr:uid="{00000000-0005-0000-0000-00005D0D0000}"/>
    <cellStyle name="集計 3" xfId="3421" xr:uid="{00000000-0005-0000-0000-00005E0D0000}"/>
    <cellStyle name="集計 4" xfId="3422" xr:uid="{00000000-0005-0000-0000-00005F0D0000}"/>
    <cellStyle name="集計 5" xfId="3423" xr:uid="{00000000-0005-0000-0000-0000600D0000}"/>
    <cellStyle name="集計 6" xfId="3424" xr:uid="{00000000-0005-0000-0000-0000610D0000}"/>
    <cellStyle name="集計 7" xfId="3425" xr:uid="{00000000-0005-0000-0000-0000620D0000}"/>
    <cellStyle name="集計 8" xfId="3426" xr:uid="{00000000-0005-0000-0000-0000630D0000}"/>
    <cellStyle name="集計 9" xfId="3427" xr:uid="{00000000-0005-0000-0000-0000640D0000}"/>
    <cellStyle name="集計_Xl0000042" xfId="3428" xr:uid="{00000000-0005-0000-0000-0000650D0000}"/>
  </cellStyles>
  <dxfs count="0"/>
  <tableStyles count="0" defaultTableStyle="TableStyleMedium9" defaultPivotStyle="PivotStyleLight16"/>
  <colors>
    <mruColors>
      <color rgb="FFDF4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0</xdr:row>
      <xdr:rowOff>114300</xdr:rowOff>
    </xdr:from>
    <xdr:to>
      <xdr:col>10</xdr:col>
      <xdr:colOff>25400</xdr:colOff>
      <xdr:row>6</xdr:row>
      <xdr:rowOff>69850</xdr:rowOff>
    </xdr:to>
    <xdr:pic>
      <xdr:nvPicPr>
        <xdr:cNvPr id="13508" name="Picture 1">
          <a:extLst>
            <a:ext uri="{FF2B5EF4-FFF2-40B4-BE49-F238E27FC236}">
              <a16:creationId xmlns:a16="http://schemas.microsoft.com/office/drawing/2014/main" id="{00000000-0008-0000-0000-0000C4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14300"/>
          <a:ext cx="1384300" cy="946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HP8440P560M\AppData\Local\Microsoft\Windows\Temporary%20Internet%20Files\Content.Outlook\NZEOHYAL\Template_Fresher%20Management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6.34.110/Wip/Classes/HCD_Fresher/FR-HN17/FR-HN17_Course%20Plan_v0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-HN19_Management%20List%20v.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elt/Desktop/In.2013_Course%20Management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</sheetNames>
    <sheetDataSet>
      <sheetData sheetId="0">
        <row r="10">
          <cell r="B10" t="str">
            <v>Rất tốt</v>
          </cell>
        </row>
      </sheetData>
      <sheetData sheetId="1">
        <row r="10">
          <cell r="B10" t="str">
            <v>Rất tốt</v>
          </cell>
        </row>
      </sheetData>
      <sheetData sheetId="2">
        <row r="10">
          <cell r="B10" t="str">
            <v>Rất tốt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-Guide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</sheetNames>
    <sheetDataSet>
      <sheetData sheetId="0">
        <row r="3">
          <cell r="S3" t="str">
            <v>Assignment</v>
          </cell>
        </row>
      </sheetData>
      <sheetData sheetId="1">
        <row r="3">
          <cell r="S3" t="str">
            <v>Assignment</v>
          </cell>
        </row>
      </sheetData>
      <sheetData sheetId="2">
        <row r="3">
          <cell r="S3" t="str">
            <v>Assignment</v>
          </cell>
        </row>
      </sheetData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5"/>
  <sheetViews>
    <sheetView view="pageBreakPreview" topLeftCell="A13" zoomScaleNormal="85" zoomScaleSheetLayoutView="100" workbookViewId="0">
      <selection activeCell="I23" sqref="I23:K23"/>
    </sheetView>
  </sheetViews>
  <sheetFormatPr defaultColWidth="9.140625" defaultRowHeight="12.75"/>
  <cols>
    <col min="1" max="1" width="2.42578125" style="10" customWidth="1"/>
    <col min="2" max="15" width="6.7109375" style="10" customWidth="1"/>
    <col min="16" max="16384" width="9.140625" style="10"/>
  </cols>
  <sheetData>
    <row r="2" spans="2:15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</row>
    <row r="3" spans="2:15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</row>
    <row r="4" spans="2:15"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3"/>
    </row>
    <row r="5" spans="2:15" ht="15.75">
      <c r="B5" s="11"/>
      <c r="C5" s="12"/>
      <c r="D5" s="12"/>
      <c r="E5" s="12"/>
      <c r="F5" s="12"/>
      <c r="G5" s="12"/>
      <c r="H5" s="12"/>
      <c r="I5" s="14"/>
      <c r="J5" s="12"/>
      <c r="K5" s="12"/>
      <c r="L5" s="12"/>
      <c r="M5" s="12"/>
      <c r="N5" s="12"/>
      <c r="O5" s="13"/>
    </row>
    <row r="6" spans="2:15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2:15">
      <c r="B7" s="15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spans="2:15">
      <c r="B8" s="15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3"/>
    </row>
    <row r="9" spans="2:15">
      <c r="B9" s="15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3"/>
    </row>
    <row r="10" spans="2:15">
      <c r="B10" s="15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3"/>
    </row>
    <row r="11" spans="2:15">
      <c r="B11" s="15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3"/>
    </row>
    <row r="12" spans="2:15">
      <c r="B12" s="1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3"/>
    </row>
    <row r="13" spans="2:15">
      <c r="B13" s="1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3"/>
    </row>
    <row r="14" spans="2:15" ht="23.25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2"/>
    </row>
    <row r="15" spans="2:15" ht="18.75">
      <c r="B15" s="15"/>
      <c r="C15" s="12"/>
      <c r="D15" s="12"/>
      <c r="E15" s="12"/>
      <c r="F15" s="16"/>
      <c r="G15" s="12"/>
      <c r="H15" s="12"/>
      <c r="I15" s="12"/>
      <c r="J15" s="12"/>
      <c r="K15" s="12"/>
      <c r="L15" s="12"/>
      <c r="M15" s="12"/>
      <c r="N15" s="12"/>
      <c r="O15" s="13"/>
    </row>
    <row r="16" spans="2:15" ht="30.75">
      <c r="B16" s="33" t="s">
        <v>0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5"/>
    </row>
    <row r="17" spans="2:15" ht="18"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2"/>
      <c r="N17" s="12"/>
      <c r="O17" s="13"/>
    </row>
    <row r="18" spans="2:15">
      <c r="B18" s="15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</row>
    <row r="19" spans="2:15">
      <c r="B19" s="15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2:15">
      <c r="B20" s="15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</row>
    <row r="21" spans="2:15" ht="18.75" customHeight="1">
      <c r="B21" s="15"/>
      <c r="C21" s="12"/>
      <c r="D21" s="12"/>
      <c r="E21" s="12"/>
      <c r="F21" s="36" t="s">
        <v>4</v>
      </c>
      <c r="G21" s="37"/>
      <c r="H21" s="37"/>
      <c r="I21" s="37"/>
      <c r="J21" s="37"/>
      <c r="K21" s="38"/>
      <c r="L21" s="12"/>
      <c r="M21" s="12"/>
      <c r="N21" s="12"/>
      <c r="O21" s="13"/>
    </row>
    <row r="22" spans="2:15" ht="18.75" customHeight="1">
      <c r="B22" s="15"/>
      <c r="C22" s="12"/>
      <c r="D22" s="12"/>
      <c r="E22" s="12"/>
      <c r="F22" s="39" t="s">
        <v>13</v>
      </c>
      <c r="G22" s="40"/>
      <c r="H22" s="40"/>
      <c r="I22" s="41" t="s">
        <v>15</v>
      </c>
      <c r="J22" s="41"/>
      <c r="K22" s="42"/>
      <c r="L22" s="12"/>
      <c r="M22" s="12"/>
      <c r="N22" s="12"/>
      <c r="O22" s="13"/>
    </row>
    <row r="23" spans="2:15" ht="18.75" customHeight="1">
      <c r="B23" s="15"/>
      <c r="C23" s="12"/>
      <c r="D23" s="12"/>
      <c r="E23" s="12"/>
      <c r="F23" s="26" t="s">
        <v>14</v>
      </c>
      <c r="G23" s="27"/>
      <c r="H23" s="27"/>
      <c r="I23" s="28">
        <v>43586</v>
      </c>
      <c r="J23" s="28"/>
      <c r="K23" s="29"/>
      <c r="L23" s="12"/>
      <c r="M23" s="12"/>
      <c r="N23" s="12"/>
      <c r="O23" s="13"/>
    </row>
    <row r="24" spans="2:15">
      <c r="B24" s="15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2:15">
      <c r="B25" s="15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2:15">
      <c r="B26" s="1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</row>
    <row r="27" spans="2:15">
      <c r="B27" s="1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</row>
    <row r="28" spans="2:15">
      <c r="B28" s="15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</row>
    <row r="29" spans="2:15">
      <c r="B29" s="15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</row>
    <row r="30" spans="2:15">
      <c r="B30" s="15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</row>
    <row r="31" spans="2:15">
      <c r="B31" s="15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/>
    </row>
    <row r="32" spans="2:15">
      <c r="B32" s="15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/>
    </row>
    <row r="33" spans="2:15">
      <c r="B33" s="15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/>
    </row>
    <row r="34" spans="2:15">
      <c r="B34" s="15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3"/>
    </row>
    <row r="35" spans="2:15"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1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21" right="0.28000000000000003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L39"/>
  <sheetViews>
    <sheetView tabSelected="1" topLeftCell="A13" zoomScaleNormal="100" zoomScaleSheetLayoutView="100" workbookViewId="0">
      <selection activeCell="G13" sqref="G13"/>
    </sheetView>
  </sheetViews>
  <sheetFormatPr defaultColWidth="9.140625" defaultRowHeight="12.75"/>
  <cols>
    <col min="1" max="1" width="3.42578125" style="3" customWidth="1"/>
    <col min="2" max="2" width="49.140625" style="3" customWidth="1"/>
    <col min="3" max="3" width="8.140625" style="6" hidden="1" customWidth="1"/>
    <col min="4" max="4" width="9.7109375" style="6" hidden="1" customWidth="1"/>
    <col min="5" max="5" width="20.85546875" style="6" hidden="1" customWidth="1"/>
    <col min="6" max="6" width="12.140625" style="6" hidden="1" customWidth="1"/>
    <col min="7" max="7" width="44.7109375" style="3" customWidth="1"/>
    <col min="8" max="9" width="26.28515625" style="3" customWidth="1"/>
    <col min="10" max="10" width="17.42578125" style="3" customWidth="1"/>
    <col min="11" max="11" width="47.28515625" style="3" customWidth="1"/>
    <col min="12" max="16384" width="9.140625" style="3"/>
  </cols>
  <sheetData>
    <row r="1" spans="1:11" s="6" customFormat="1" ht="25.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15">
      <c r="A2" s="45" t="s">
        <v>31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>
      <c r="A3" s="46">
        <v>1</v>
      </c>
      <c r="B3" s="46" t="s">
        <v>9</v>
      </c>
      <c r="C3" s="47"/>
      <c r="D3" s="48"/>
      <c r="E3" s="48"/>
      <c r="F3" s="48"/>
      <c r="G3" s="49"/>
      <c r="H3" s="49"/>
      <c r="I3" s="49"/>
      <c r="J3" s="49"/>
      <c r="K3" s="49"/>
    </row>
    <row r="4" spans="1:11">
      <c r="A4" s="49"/>
      <c r="B4" s="49" t="s">
        <v>32</v>
      </c>
      <c r="C4" s="48"/>
      <c r="D4" s="48"/>
      <c r="E4" s="48"/>
      <c r="F4" s="48"/>
      <c r="G4" s="49"/>
      <c r="H4" s="49"/>
      <c r="I4" s="49"/>
      <c r="J4" s="49"/>
      <c r="K4" s="49"/>
    </row>
    <row r="5" spans="1:11">
      <c r="A5" s="49"/>
      <c r="B5" s="49"/>
      <c r="C5" s="48"/>
      <c r="D5" s="48"/>
      <c r="E5" s="48"/>
      <c r="F5" s="48"/>
      <c r="G5" s="49"/>
      <c r="H5" s="49"/>
      <c r="I5" s="49"/>
      <c r="J5" s="49"/>
      <c r="K5" s="49"/>
    </row>
    <row r="6" spans="1:11" ht="38.25">
      <c r="A6" s="50" t="s">
        <v>3</v>
      </c>
      <c r="B6" s="50" t="s">
        <v>1</v>
      </c>
      <c r="C6" s="50" t="s">
        <v>4</v>
      </c>
      <c r="D6" s="50" t="s">
        <v>19</v>
      </c>
      <c r="E6" s="50" t="s">
        <v>27</v>
      </c>
      <c r="F6" s="50" t="s">
        <v>16</v>
      </c>
      <c r="G6" s="50" t="s">
        <v>10</v>
      </c>
      <c r="H6" s="50" t="s">
        <v>21</v>
      </c>
      <c r="I6" s="50" t="s">
        <v>17</v>
      </c>
      <c r="J6" s="51" t="s">
        <v>2</v>
      </c>
      <c r="K6" s="51"/>
    </row>
    <row r="7" spans="1:11" ht="33" customHeight="1">
      <c r="A7" s="50"/>
      <c r="B7" s="76" t="s">
        <v>65</v>
      </c>
      <c r="C7" s="77"/>
      <c r="D7" s="77"/>
      <c r="E7" s="77"/>
      <c r="F7" s="77"/>
      <c r="G7" s="77"/>
      <c r="H7" s="77"/>
      <c r="I7" s="77"/>
      <c r="J7" s="77"/>
      <c r="K7" s="78"/>
    </row>
    <row r="8" spans="1:11" s="22" customFormat="1" ht="58.9" customHeight="1">
      <c r="A8" s="52">
        <v>1</v>
      </c>
      <c r="B8" s="53" t="s">
        <v>33</v>
      </c>
      <c r="C8" s="52"/>
      <c r="D8" s="54">
        <v>2</v>
      </c>
      <c r="E8" s="54">
        <f>6*3</f>
        <v>18</v>
      </c>
      <c r="F8" s="54">
        <f>D8+E8</f>
        <v>20</v>
      </c>
      <c r="G8" s="55" t="s">
        <v>36</v>
      </c>
      <c r="H8" s="56" t="s">
        <v>35</v>
      </c>
      <c r="I8" s="57" t="s">
        <v>58</v>
      </c>
      <c r="J8" s="58" t="s">
        <v>75</v>
      </c>
      <c r="K8" s="59"/>
    </row>
    <row r="9" spans="1:11" s="22" customFormat="1" ht="129.75" customHeight="1">
      <c r="A9" s="52">
        <v>2</v>
      </c>
      <c r="B9" s="53" t="s">
        <v>38</v>
      </c>
      <c r="C9" s="52"/>
      <c r="D9" s="54">
        <v>4</v>
      </c>
      <c r="E9" s="54">
        <f>14*3</f>
        <v>42</v>
      </c>
      <c r="F9" s="54">
        <f t="shared" ref="F9:F11" si="0">D9+E9</f>
        <v>46</v>
      </c>
      <c r="G9" s="55" t="s">
        <v>41</v>
      </c>
      <c r="H9" s="56" t="s">
        <v>39</v>
      </c>
      <c r="I9" s="57" t="s">
        <v>58</v>
      </c>
      <c r="J9" s="58" t="s">
        <v>40</v>
      </c>
      <c r="K9" s="59"/>
    </row>
    <row r="10" spans="1:11" s="22" customFormat="1" ht="107.25" customHeight="1">
      <c r="A10" s="60">
        <v>3</v>
      </c>
      <c r="B10" s="53" t="s">
        <v>42</v>
      </c>
      <c r="C10" s="52"/>
      <c r="D10" s="54">
        <v>4</v>
      </c>
      <c r="E10" s="54"/>
      <c r="F10" s="54"/>
      <c r="G10" s="55" t="s">
        <v>43</v>
      </c>
      <c r="H10" s="56" t="s">
        <v>44</v>
      </c>
      <c r="I10" s="57" t="s">
        <v>58</v>
      </c>
      <c r="J10" s="58" t="s">
        <v>45</v>
      </c>
      <c r="K10" s="59"/>
    </row>
    <row r="11" spans="1:11" s="22" customFormat="1" ht="134.25" customHeight="1">
      <c r="A11" s="60">
        <v>4</v>
      </c>
      <c r="B11" s="53" t="s">
        <v>37</v>
      </c>
      <c r="C11" s="52"/>
      <c r="D11" s="54">
        <v>4</v>
      </c>
      <c r="E11" s="54">
        <v>3</v>
      </c>
      <c r="F11" s="54">
        <f t="shared" si="0"/>
        <v>7</v>
      </c>
      <c r="G11" s="55" t="s">
        <v>46</v>
      </c>
      <c r="H11" s="56" t="s">
        <v>39</v>
      </c>
      <c r="I11" s="57" t="s">
        <v>58</v>
      </c>
      <c r="J11" s="58" t="s">
        <v>47</v>
      </c>
      <c r="K11" s="59"/>
    </row>
    <row r="12" spans="1:11" s="22" customFormat="1" ht="134.25" customHeight="1">
      <c r="A12" s="60">
        <v>4</v>
      </c>
      <c r="B12" s="53" t="s">
        <v>48</v>
      </c>
      <c r="C12" s="52"/>
      <c r="D12" s="54">
        <v>4</v>
      </c>
      <c r="E12" s="54"/>
      <c r="F12" s="54"/>
      <c r="G12" s="55" t="s">
        <v>64</v>
      </c>
      <c r="H12" s="56" t="s">
        <v>44</v>
      </c>
      <c r="I12" s="57" t="s">
        <v>58</v>
      </c>
      <c r="J12" s="61" t="s">
        <v>49</v>
      </c>
      <c r="K12" s="62"/>
    </row>
    <row r="13" spans="1:11" s="22" customFormat="1" ht="134.25" customHeight="1">
      <c r="A13" s="60"/>
      <c r="B13" s="53" t="s">
        <v>50</v>
      </c>
      <c r="C13" s="52"/>
      <c r="D13" s="54">
        <v>4</v>
      </c>
      <c r="E13" s="54"/>
      <c r="F13" s="54"/>
      <c r="G13" s="55" t="s">
        <v>51</v>
      </c>
      <c r="H13" s="56" t="s">
        <v>44</v>
      </c>
      <c r="I13" s="57" t="s">
        <v>58</v>
      </c>
      <c r="J13" s="61" t="s">
        <v>49</v>
      </c>
      <c r="K13" s="62"/>
    </row>
    <row r="14" spans="1:11" s="22" customFormat="1" ht="134.25" customHeight="1">
      <c r="A14" s="60"/>
      <c r="B14" s="53" t="s">
        <v>57</v>
      </c>
      <c r="C14" s="52"/>
      <c r="D14" s="54"/>
      <c r="E14" s="54"/>
      <c r="F14" s="54"/>
      <c r="G14" s="55" t="s">
        <v>62</v>
      </c>
      <c r="H14" s="56" t="s">
        <v>63</v>
      </c>
      <c r="I14" s="57" t="s">
        <v>58</v>
      </c>
      <c r="J14" s="61"/>
      <c r="K14" s="62"/>
    </row>
    <row r="15" spans="1:11" s="22" customFormat="1" ht="134.25" customHeight="1">
      <c r="A15" s="60"/>
      <c r="B15" s="53" t="s">
        <v>52</v>
      </c>
      <c r="C15" s="52"/>
      <c r="D15" s="54">
        <v>7</v>
      </c>
      <c r="E15" s="54"/>
      <c r="F15" s="54"/>
      <c r="G15" s="55" t="s">
        <v>53</v>
      </c>
      <c r="H15" s="56" t="s">
        <v>59</v>
      </c>
      <c r="I15" s="57" t="s">
        <v>58</v>
      </c>
      <c r="J15" s="61"/>
      <c r="K15" s="62"/>
    </row>
    <row r="16" spans="1:11" s="22" customFormat="1" ht="134.25" customHeight="1">
      <c r="A16" s="60"/>
      <c r="B16" s="53" t="s">
        <v>54</v>
      </c>
      <c r="C16" s="52"/>
      <c r="D16" s="54">
        <v>2</v>
      </c>
      <c r="E16" s="54"/>
      <c r="F16" s="54"/>
      <c r="G16" s="55" t="s">
        <v>55</v>
      </c>
      <c r="H16" s="56" t="s">
        <v>44</v>
      </c>
      <c r="I16" s="57" t="s">
        <v>58</v>
      </c>
      <c r="J16" s="58"/>
      <c r="K16" s="59"/>
    </row>
    <row r="17" spans="1:12" s="22" customFormat="1" ht="132" customHeight="1">
      <c r="A17" s="60">
        <v>5</v>
      </c>
      <c r="B17" s="53" t="s">
        <v>56</v>
      </c>
      <c r="C17" s="52"/>
      <c r="D17" s="54">
        <v>8</v>
      </c>
      <c r="E17" s="54"/>
      <c r="F17" s="54"/>
      <c r="G17" s="55" t="s">
        <v>61</v>
      </c>
      <c r="H17" s="56" t="s">
        <v>60</v>
      </c>
      <c r="I17" s="57" t="s">
        <v>58</v>
      </c>
      <c r="J17" s="58"/>
      <c r="K17" s="59"/>
    </row>
    <row r="18" spans="1:12" ht="33" customHeight="1">
      <c r="A18" s="50"/>
      <c r="B18" s="76" t="s">
        <v>66</v>
      </c>
      <c r="C18" s="77"/>
      <c r="D18" s="77"/>
      <c r="E18" s="77"/>
      <c r="F18" s="77"/>
      <c r="G18" s="77"/>
      <c r="H18" s="77"/>
      <c r="I18" s="77"/>
      <c r="J18" s="77"/>
      <c r="K18" s="78"/>
    </row>
    <row r="19" spans="1:12" s="22" customFormat="1" ht="148.15" customHeight="1">
      <c r="A19" s="52"/>
      <c r="B19" s="53" t="s">
        <v>68</v>
      </c>
      <c r="C19" s="52"/>
      <c r="D19" s="54"/>
      <c r="E19" s="54"/>
      <c r="F19" s="54"/>
      <c r="G19" s="55" t="s">
        <v>69</v>
      </c>
      <c r="H19" s="56" t="s">
        <v>67</v>
      </c>
      <c r="I19" s="57"/>
      <c r="J19" s="58" t="s">
        <v>90</v>
      </c>
      <c r="K19" s="79"/>
    </row>
    <row r="20" spans="1:12" s="22" customFormat="1" ht="148.15" customHeight="1">
      <c r="A20" s="52"/>
      <c r="B20" s="53" t="s">
        <v>70</v>
      </c>
      <c r="C20" s="52"/>
      <c r="D20" s="54"/>
      <c r="E20" s="54"/>
      <c r="F20" s="54"/>
      <c r="G20" s="55" t="s">
        <v>71</v>
      </c>
      <c r="H20" s="56" t="s">
        <v>72</v>
      </c>
      <c r="I20" s="57"/>
      <c r="J20" s="63"/>
      <c r="K20" s="64"/>
    </row>
    <row r="21" spans="1:12" s="22" customFormat="1" ht="148.15" customHeight="1">
      <c r="A21" s="52"/>
      <c r="B21" s="53" t="s">
        <v>73</v>
      </c>
      <c r="C21" s="52"/>
      <c r="D21" s="54"/>
      <c r="E21" s="54"/>
      <c r="F21" s="54"/>
      <c r="G21" s="55" t="s">
        <v>74</v>
      </c>
      <c r="H21" s="56"/>
      <c r="I21" s="57"/>
      <c r="J21" s="63"/>
      <c r="K21" s="64"/>
    </row>
    <row r="22" spans="1:12" s="22" customFormat="1" ht="34.5" customHeight="1">
      <c r="A22" s="50"/>
      <c r="B22" s="76" t="s">
        <v>76</v>
      </c>
      <c r="C22" s="77"/>
      <c r="D22" s="77"/>
      <c r="E22" s="77"/>
      <c r="F22" s="77"/>
      <c r="G22" s="77"/>
      <c r="H22" s="77"/>
      <c r="I22" s="77"/>
      <c r="J22" s="77"/>
      <c r="K22" s="78"/>
    </row>
    <row r="23" spans="1:12" s="22" customFormat="1" ht="148.15" customHeight="1">
      <c r="A23" s="52"/>
      <c r="B23" s="53" t="s">
        <v>77</v>
      </c>
      <c r="C23" s="52"/>
      <c r="D23" s="54"/>
      <c r="E23" s="54"/>
      <c r="F23" s="54"/>
      <c r="G23" s="55" t="s">
        <v>78</v>
      </c>
      <c r="H23" s="56"/>
      <c r="I23" s="57"/>
      <c r="J23" s="58" t="s">
        <v>79</v>
      </c>
      <c r="K23" s="79"/>
    </row>
    <row r="24" spans="1:12" s="22" customFormat="1" ht="35.25" customHeight="1">
      <c r="A24" s="50"/>
      <c r="B24" s="76" t="s">
        <v>80</v>
      </c>
      <c r="C24" s="77"/>
      <c r="D24" s="77"/>
      <c r="E24" s="77"/>
      <c r="F24" s="77"/>
      <c r="G24" s="77"/>
      <c r="H24" s="77"/>
      <c r="I24" s="77"/>
      <c r="J24" s="77"/>
      <c r="K24" s="78"/>
    </row>
    <row r="25" spans="1:12" s="22" customFormat="1" ht="148.15" customHeight="1">
      <c r="A25" s="52"/>
      <c r="B25" s="53" t="s">
        <v>84</v>
      </c>
      <c r="C25" s="52"/>
      <c r="D25" s="54"/>
      <c r="E25" s="54"/>
      <c r="F25" s="54"/>
      <c r="G25" s="55" t="s">
        <v>81</v>
      </c>
      <c r="H25" s="56"/>
      <c r="I25" s="57"/>
      <c r="J25" s="58" t="s">
        <v>82</v>
      </c>
      <c r="K25" s="79"/>
    </row>
    <row r="26" spans="1:12" s="22" customFormat="1" ht="148.15" customHeight="1">
      <c r="A26" s="52"/>
      <c r="B26" s="53" t="s">
        <v>83</v>
      </c>
      <c r="C26" s="52"/>
      <c r="D26" s="54"/>
      <c r="E26" s="54"/>
      <c r="F26" s="54"/>
      <c r="G26" s="55" t="s">
        <v>85</v>
      </c>
      <c r="H26" s="56"/>
      <c r="I26" s="57"/>
      <c r="J26" s="58" t="s">
        <v>86</v>
      </c>
      <c r="K26" s="79"/>
    </row>
    <row r="27" spans="1:12" s="22" customFormat="1" ht="148.15" customHeight="1">
      <c r="A27" s="52"/>
      <c r="B27" s="53" t="s">
        <v>87</v>
      </c>
      <c r="C27" s="52"/>
      <c r="D27" s="54"/>
      <c r="E27" s="54"/>
      <c r="F27" s="54"/>
      <c r="G27" s="55" t="s">
        <v>88</v>
      </c>
      <c r="H27" s="56"/>
      <c r="I27" s="57"/>
      <c r="J27" s="58" t="s">
        <v>89</v>
      </c>
      <c r="K27" s="79"/>
    </row>
    <row r="28" spans="1:12" s="22" customFormat="1" ht="25.15" customHeight="1">
      <c r="A28" s="52">
        <v>7</v>
      </c>
      <c r="B28" s="53" t="s">
        <v>34</v>
      </c>
      <c r="C28" s="52"/>
      <c r="D28" s="54">
        <v>8</v>
      </c>
      <c r="E28" s="54"/>
      <c r="F28" s="54"/>
      <c r="G28" s="55" t="s">
        <v>30</v>
      </c>
      <c r="H28" s="56"/>
      <c r="I28" s="57"/>
      <c r="J28" s="58" t="s">
        <v>30</v>
      </c>
      <c r="K28" s="59"/>
    </row>
    <row r="29" spans="1:12" s="22" customFormat="1" ht="12">
      <c r="A29" s="65">
        <v>8</v>
      </c>
      <c r="B29" s="66" t="s">
        <v>26</v>
      </c>
      <c r="C29" s="52"/>
      <c r="D29" s="54"/>
      <c r="E29" s="54"/>
      <c r="F29" s="54"/>
      <c r="G29" s="67"/>
      <c r="H29" s="68"/>
      <c r="I29" s="68"/>
      <c r="J29" s="58" t="s">
        <v>18</v>
      </c>
      <c r="K29" s="59"/>
    </row>
    <row r="30" spans="1:12">
      <c r="A30" s="69" t="s">
        <v>22</v>
      </c>
      <c r="B30" s="69"/>
      <c r="C30" s="69"/>
      <c r="D30" s="70">
        <f>SUM(D1:D28)</f>
        <v>47</v>
      </c>
      <c r="E30" s="70">
        <f>SUM(E8:E28)</f>
        <v>63</v>
      </c>
      <c r="F30" s="71"/>
      <c r="G30" s="72" t="s">
        <v>23</v>
      </c>
      <c r="H30" s="73"/>
      <c r="I30" s="73"/>
      <c r="J30" s="74"/>
      <c r="K30" s="75"/>
      <c r="L30" s="4"/>
    </row>
    <row r="31" spans="1:12">
      <c r="B31" s="4"/>
      <c r="C31" s="23"/>
      <c r="D31" s="24"/>
      <c r="E31" s="23"/>
      <c r="F31" s="23"/>
      <c r="G31" s="5"/>
      <c r="H31" s="5"/>
      <c r="I31" s="5"/>
      <c r="K31" s="4"/>
      <c r="L31" s="4"/>
    </row>
    <row r="32" spans="1:12" ht="19.149999999999999" customHeight="1">
      <c r="A32" s="4">
        <v>2</v>
      </c>
      <c r="B32" s="4" t="s">
        <v>11</v>
      </c>
      <c r="C32" s="23"/>
    </row>
    <row r="33" spans="1:11" ht="19.149999999999999" customHeight="1">
      <c r="A33" s="4"/>
      <c r="B33" s="25" t="s">
        <v>24</v>
      </c>
      <c r="C33" s="23"/>
    </row>
    <row r="34" spans="1:11" ht="19.149999999999999" customHeight="1">
      <c r="A34" s="4"/>
      <c r="B34" s="25" t="s">
        <v>29</v>
      </c>
      <c r="C34" s="23"/>
    </row>
    <row r="35" spans="1:11" ht="19.149999999999999" customHeight="1">
      <c r="A35" s="4"/>
      <c r="B35" s="25" t="s">
        <v>28</v>
      </c>
      <c r="C35" s="23"/>
    </row>
    <row r="36" spans="1:11" ht="19.149999999999999" customHeight="1">
      <c r="A36" s="4"/>
      <c r="B36" s="25" t="s">
        <v>25</v>
      </c>
      <c r="C36" s="23"/>
    </row>
    <row r="37" spans="1:11" ht="19.149999999999999" customHeight="1">
      <c r="A37" s="4"/>
      <c r="B37" s="25" t="s">
        <v>20</v>
      </c>
      <c r="C37" s="23"/>
    </row>
    <row r="38" spans="1:11" ht="19.149999999999999" customHeight="1">
      <c r="A38" s="4">
        <v>3</v>
      </c>
      <c r="B38" s="4" t="s">
        <v>5</v>
      </c>
    </row>
    <row r="39" spans="1:11" ht="19.149999999999999" customHeight="1">
      <c r="B39" s="43" t="s">
        <v>12</v>
      </c>
      <c r="C39" s="43"/>
      <c r="D39" s="43"/>
      <c r="E39" s="43"/>
      <c r="F39" s="43"/>
      <c r="G39" s="43"/>
      <c r="H39" s="43"/>
      <c r="I39" s="43"/>
      <c r="J39" s="43"/>
      <c r="K39" s="43"/>
    </row>
  </sheetData>
  <mergeCells count="26">
    <mergeCell ref="J27:K27"/>
    <mergeCell ref="J19:K19"/>
    <mergeCell ref="B22:K22"/>
    <mergeCell ref="J23:K23"/>
    <mergeCell ref="B24:K24"/>
    <mergeCell ref="J25:K25"/>
    <mergeCell ref="J26:K26"/>
    <mergeCell ref="J16:K16"/>
    <mergeCell ref="J14:K14"/>
    <mergeCell ref="B7:K7"/>
    <mergeCell ref="B18:K18"/>
    <mergeCell ref="A1:K1"/>
    <mergeCell ref="A2:K2"/>
    <mergeCell ref="J6:K6"/>
    <mergeCell ref="J8:K8"/>
    <mergeCell ref="B39:K39"/>
    <mergeCell ref="A30:C30"/>
    <mergeCell ref="J11:K11"/>
    <mergeCell ref="J9:K9"/>
    <mergeCell ref="J29:K29"/>
    <mergeCell ref="J28:K28"/>
    <mergeCell ref="J10:K10"/>
    <mergeCell ref="J17:K17"/>
    <mergeCell ref="J12:K12"/>
    <mergeCell ref="J13:K13"/>
    <mergeCell ref="J15:K15"/>
  </mergeCells>
  <phoneticPr fontId="114" type="noConversion"/>
  <pageMargins left="0.7" right="0.7" top="0.75" bottom="0.75" header="0.3" footer="0.3"/>
  <pageSetup paperSize="9" scale="74" orientation="portrait" r:id="rId1"/>
  <headerFooter>
    <oddHeader>&amp;L&amp;F&amp;Rv3.1</oddHeader>
    <oddFooter>&amp;L&amp;"Arial,Regular"&amp;10 45e-BM/HR/HDCV/FSOFT&amp;C&amp;"Arial,Regular"&amp;10Internal use&amp;R&amp;"Arial,Regular"&amp;10&amp;P/&amp;N</oddFooter>
  </headerFooter>
  <colBreaks count="2" manualBreakCount="2">
    <brk id="7" max="25" man="1"/>
    <brk id="11" max="1048575" man="1"/>
  </colBreaks>
  <customProperties>
    <customPr name="DVSECTION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V11"/>
  <sheetViews>
    <sheetView workbookViewId="0">
      <selection activeCell="AT11" sqref="AT11"/>
    </sheetView>
  </sheetViews>
  <sheetFormatPr defaultColWidth="8.7109375" defaultRowHeight="15"/>
  <sheetData>
    <row r="1" spans="1:256">
      <c r="A1" t="e">
        <f>IF(Introduction!#REF!,"AAAAAFt6TwA=",0)</f>
        <v>#REF!</v>
      </c>
      <c r="B1" t="e">
        <f>AND(Introduction!#REF!,"AAAAAFt6TwE=")</f>
        <v>#REF!</v>
      </c>
      <c r="C1" t="e">
        <f>AND(Introduction!#REF!,"AAAAAFt6TwI=")</f>
        <v>#REF!</v>
      </c>
      <c r="D1" t="e">
        <f>AND(Introduction!#REF!,"AAAAAFt6TwM=")</f>
        <v>#REF!</v>
      </c>
      <c r="E1" t="e">
        <f>AND(Introduction!#REF!,"AAAAAFt6TwQ=")</f>
        <v>#REF!</v>
      </c>
      <c r="F1" t="e">
        <f>AND(Introduction!#REF!,"AAAAAFt6TwU=")</f>
        <v>#REF!</v>
      </c>
      <c r="G1" t="e">
        <f>AND(Introduction!#REF!,"AAAAAFt6TwY=")</f>
        <v>#REF!</v>
      </c>
      <c r="H1" t="e">
        <f>AND(Introduction!#REF!,"AAAAAFt6Twc=")</f>
        <v>#REF!</v>
      </c>
      <c r="I1" t="e">
        <f>AND(Introduction!#REF!,"AAAAAFt6Twg=")</f>
        <v>#REF!</v>
      </c>
      <c r="J1">
        <f>IF(Introduction!1:1,"AAAAAFt6Twk=",0)</f>
        <v>0</v>
      </c>
      <c r="K1" t="e">
        <f>AND(Introduction!A1,"AAAAAFt6Two=")</f>
        <v>#VALUE!</v>
      </c>
      <c r="L1" t="e">
        <f>AND(Introduction!B1,"AAAAAFt6Tws=")</f>
        <v>#VALUE!</v>
      </c>
      <c r="M1" t="e">
        <f>AND(Introduction!C1,"AAAAAFt6Tww=")</f>
        <v>#VALUE!</v>
      </c>
      <c r="N1" t="e">
        <f>AND(Introduction!D1,"AAAAAFt6Tw0=")</f>
        <v>#VALUE!</v>
      </c>
      <c r="O1" t="e">
        <f>AND(Introduction!G1,"AAAAAFt6Tw4=")</f>
        <v>#VALUE!</v>
      </c>
      <c r="P1" t="e">
        <f>AND(Introduction!J1,"AAAAAFt6Tw8=")</f>
        <v>#VALUE!</v>
      </c>
      <c r="Q1" t="e">
        <f>AND(Introduction!K1,"AAAAAFt6TxA=")</f>
        <v>#VALUE!</v>
      </c>
      <c r="R1" t="e">
        <f>AND(Introduction!L1,"AAAAAFt6TxE=")</f>
        <v>#VALUE!</v>
      </c>
      <c r="S1">
        <f>IF(Introduction!2:2,"AAAAAFt6TxI=",0)</f>
        <v>0</v>
      </c>
      <c r="T1" t="e">
        <f>AND(Introduction!A2,"AAAAAFt6TxM=")</f>
        <v>#VALUE!</v>
      </c>
      <c r="U1" t="e">
        <f>AND(Introduction!B2,"AAAAAFt6TxQ=")</f>
        <v>#VALUE!</v>
      </c>
      <c r="V1" t="e">
        <f>AND(Introduction!C2,"AAAAAFt6TxU=")</f>
        <v>#VALUE!</v>
      </c>
      <c r="W1" t="e">
        <f>AND(Introduction!D2,"AAAAAFt6TxY=")</f>
        <v>#VALUE!</v>
      </c>
      <c r="X1" t="e">
        <f>AND(Introduction!G2,"AAAAAFt6Txc=")</f>
        <v>#VALUE!</v>
      </c>
      <c r="Y1" t="e">
        <f>AND(Introduction!J2,"AAAAAFt6Txg=")</f>
        <v>#VALUE!</v>
      </c>
      <c r="Z1" t="e">
        <f>AND(Introduction!K2,"AAAAAFt6Txk=")</f>
        <v>#VALUE!</v>
      </c>
      <c r="AA1" t="e">
        <f>AND(Introduction!L2,"AAAAAFt6Txo=")</f>
        <v>#VALUE!</v>
      </c>
      <c r="AB1" t="e">
        <f>IF(Introduction!#REF!,"AAAAAFt6Txs=",0)</f>
        <v>#REF!</v>
      </c>
      <c r="AC1" t="e">
        <f>AND(Introduction!#REF!,"AAAAAFt6Txw=")</f>
        <v>#REF!</v>
      </c>
      <c r="AD1" t="e">
        <f>AND(Introduction!#REF!,"AAAAAFt6Tx0=")</f>
        <v>#REF!</v>
      </c>
      <c r="AE1" t="e">
        <f>AND(Introduction!#REF!,"AAAAAFt6Tx4=")</f>
        <v>#REF!</v>
      </c>
      <c r="AF1" t="e">
        <f>AND(Introduction!#REF!,"AAAAAFt6Tx8=")</f>
        <v>#REF!</v>
      </c>
      <c r="AG1" t="e">
        <f>AND(Introduction!#REF!,"AAAAAFt6TyA=")</f>
        <v>#REF!</v>
      </c>
      <c r="AH1" t="e">
        <f>AND(Introduction!#REF!,"AAAAAFt6TyE=")</f>
        <v>#REF!</v>
      </c>
      <c r="AI1" t="e">
        <f>AND(Introduction!#REF!,"AAAAAFt6TyI=")</f>
        <v>#REF!</v>
      </c>
      <c r="AJ1" t="e">
        <f>AND(Introduction!#REF!,"AAAAAFt6TyM=")</f>
        <v>#REF!</v>
      </c>
      <c r="AK1">
        <f>IF(Introduction!3:3,"AAAAAFt6TyQ=",0)</f>
        <v>0</v>
      </c>
      <c r="AL1" t="e">
        <f>AND(Introduction!A3,"AAAAAFt6TyU=")</f>
        <v>#VALUE!</v>
      </c>
      <c r="AM1" t="e">
        <f>AND(Introduction!B3,"AAAAAFt6TyY=")</f>
        <v>#VALUE!</v>
      </c>
      <c r="AN1" t="e">
        <f>AND(Introduction!C3,"AAAAAFt6Tyc=")</f>
        <v>#VALUE!</v>
      </c>
      <c r="AO1" t="e">
        <f>AND(Introduction!D3,"AAAAAFt6Tyg=")</f>
        <v>#VALUE!</v>
      </c>
      <c r="AP1" t="e">
        <f>AND(Introduction!G3,"AAAAAFt6Tyk=")</f>
        <v>#VALUE!</v>
      </c>
      <c r="AQ1" t="e">
        <f>AND(Introduction!J3,"AAAAAFt6Tyo=")</f>
        <v>#VALUE!</v>
      </c>
      <c r="AR1" t="e">
        <f>AND(Introduction!K3,"AAAAAFt6Tys=")</f>
        <v>#VALUE!</v>
      </c>
      <c r="AS1" t="e">
        <f>AND(Introduction!L3,"AAAAAFt6Tyw=")</f>
        <v>#VALUE!</v>
      </c>
      <c r="AT1">
        <f>IF(Introduction!4:4,"AAAAAFt6Ty0=",0)</f>
        <v>0</v>
      </c>
      <c r="AU1" t="e">
        <f>AND(Introduction!A4,"AAAAAFt6Ty4=")</f>
        <v>#VALUE!</v>
      </c>
      <c r="AV1" t="e">
        <f>AND(Introduction!B4,"AAAAAFt6Ty8=")</f>
        <v>#VALUE!</v>
      </c>
      <c r="AW1" t="e">
        <f>AND(Introduction!C4,"AAAAAFt6TzA=")</f>
        <v>#VALUE!</v>
      </c>
      <c r="AX1" t="e">
        <f>AND(Introduction!D4,"AAAAAFt6TzE=")</f>
        <v>#VALUE!</v>
      </c>
      <c r="AY1" t="e">
        <f>AND(Introduction!G4,"AAAAAFt6TzI=")</f>
        <v>#VALUE!</v>
      </c>
      <c r="AZ1" t="e">
        <f>AND(Introduction!J4,"AAAAAFt6TzM=")</f>
        <v>#VALUE!</v>
      </c>
      <c r="BA1" t="e">
        <f>AND(Introduction!K4,"AAAAAFt6TzQ=")</f>
        <v>#VALUE!</v>
      </c>
      <c r="BB1" t="e">
        <f>AND(Introduction!L4,"AAAAAFt6TzU=")</f>
        <v>#VALUE!</v>
      </c>
      <c r="BC1">
        <f>IF(Introduction!5:5,"AAAAAFt6TzY=",0)</f>
        <v>0</v>
      </c>
      <c r="BD1" t="e">
        <f>AND(Introduction!A5,"AAAAAFt6Tzc=")</f>
        <v>#VALUE!</v>
      </c>
      <c r="BE1" t="e">
        <f>AND(Introduction!B5,"AAAAAFt6Tzg=")</f>
        <v>#VALUE!</v>
      </c>
      <c r="BF1" t="e">
        <f>AND(Introduction!C5,"AAAAAFt6Tzk=")</f>
        <v>#VALUE!</v>
      </c>
      <c r="BG1" t="e">
        <f>AND(Introduction!D5,"AAAAAFt6Tzo=")</f>
        <v>#VALUE!</v>
      </c>
      <c r="BH1" t="e">
        <f>AND(Introduction!G5,"AAAAAFt6Tzs=")</f>
        <v>#VALUE!</v>
      </c>
      <c r="BI1" t="e">
        <f>AND(Introduction!J5,"AAAAAFt6Tzw=")</f>
        <v>#VALUE!</v>
      </c>
      <c r="BJ1" t="e">
        <f>AND(Introduction!K5,"AAAAAFt6Tz0=")</f>
        <v>#VALUE!</v>
      </c>
      <c r="BK1" t="e">
        <f>AND(Introduction!L5,"AAAAAFt6Tz4=")</f>
        <v>#VALUE!</v>
      </c>
      <c r="BL1">
        <f>IF(Introduction!6:6,"AAAAAFt6Tz8=",0)</f>
        <v>0</v>
      </c>
      <c r="BM1" t="e">
        <f>AND(Introduction!A6,"AAAAAFt6T0A=")</f>
        <v>#VALUE!</v>
      </c>
      <c r="BN1" t="e">
        <f>AND(Introduction!B6,"AAAAAFt6T0E=")</f>
        <v>#VALUE!</v>
      </c>
      <c r="BO1" t="e">
        <f>AND(Introduction!C6,"AAAAAFt6T0I=")</f>
        <v>#VALUE!</v>
      </c>
      <c r="BP1" t="e">
        <f>AND(Introduction!D6,"AAAAAFt6T0M=")</f>
        <v>#VALUE!</v>
      </c>
      <c r="BQ1" t="e">
        <f>AND(Introduction!G6,"AAAAAFt6T0Q=")</f>
        <v>#VALUE!</v>
      </c>
      <c r="BR1" t="e">
        <f>AND(Introduction!J6,"AAAAAFt6T0U=")</f>
        <v>#VALUE!</v>
      </c>
      <c r="BS1" t="e">
        <f>AND(Introduction!K6,"AAAAAFt6T0Y=")</f>
        <v>#VALUE!</v>
      </c>
      <c r="BT1" t="e">
        <f>AND(Introduction!L6,"AAAAAFt6T0c=")</f>
        <v>#VALUE!</v>
      </c>
      <c r="BU1">
        <f>IF(Introduction!8:8,"AAAAAFt6T0g=",0)</f>
        <v>0</v>
      </c>
      <c r="BV1" t="e">
        <f>AND(Introduction!A8,"AAAAAFt6T0k=")</f>
        <v>#VALUE!</v>
      </c>
      <c r="BW1" t="e">
        <f>AND(Introduction!B8,"AAAAAFt6T0o=")</f>
        <v>#VALUE!</v>
      </c>
      <c r="BX1" t="e">
        <f>AND(Introduction!C8,"AAAAAFt6T0s=")</f>
        <v>#VALUE!</v>
      </c>
      <c r="BY1" t="e">
        <f>AND(Introduction!D8,"AAAAAFt6T0w=")</f>
        <v>#VALUE!</v>
      </c>
      <c r="BZ1" t="e">
        <f>AND(Introduction!G8,"AAAAAFt6T00=")</f>
        <v>#VALUE!</v>
      </c>
      <c r="CA1" t="e">
        <f>AND(Introduction!J8,"AAAAAFt6T04=")</f>
        <v>#VALUE!</v>
      </c>
      <c r="CB1" t="e">
        <f>AND(Introduction!K8,"AAAAAFt6T08=")</f>
        <v>#VALUE!</v>
      </c>
      <c r="CC1" t="e">
        <f>AND(Introduction!L8,"AAAAAFt6T1A=")</f>
        <v>#VALUE!</v>
      </c>
      <c r="CD1" t="e">
        <f>IF(Introduction!#REF!,"AAAAAFt6T1E=",0)</f>
        <v>#REF!</v>
      </c>
      <c r="CE1" t="e">
        <f>AND(Introduction!#REF!,"AAAAAFt6T1I=")</f>
        <v>#REF!</v>
      </c>
      <c r="CF1" t="e">
        <f>AND(Introduction!#REF!,"AAAAAFt6T1M=")</f>
        <v>#REF!</v>
      </c>
      <c r="CG1" t="e">
        <f>AND(Introduction!#REF!,"AAAAAFt6T1Q=")</f>
        <v>#REF!</v>
      </c>
      <c r="CH1" t="e">
        <f>AND(Introduction!#REF!,"AAAAAFt6T1U=")</f>
        <v>#REF!</v>
      </c>
      <c r="CI1" t="e">
        <f>AND(Introduction!#REF!,"AAAAAFt6T1Y=")</f>
        <v>#REF!</v>
      </c>
      <c r="CJ1" t="e">
        <f>AND(Introduction!#REF!,"AAAAAFt6T1c=")</f>
        <v>#REF!</v>
      </c>
      <c r="CK1" t="e">
        <f>AND(Introduction!#REF!,"AAAAAFt6T1g=")</f>
        <v>#REF!</v>
      </c>
      <c r="CL1" t="e">
        <f>AND(Introduction!#REF!,"AAAAAFt6T1k=")</f>
        <v>#REF!</v>
      </c>
      <c r="CM1" t="e">
        <f>IF(Introduction!#REF!,"AAAAAFt6T1o=",0)</f>
        <v>#REF!</v>
      </c>
      <c r="CN1" t="e">
        <f>AND(Introduction!#REF!,"AAAAAFt6T1s=")</f>
        <v>#REF!</v>
      </c>
      <c r="CO1" t="e">
        <f>AND(Introduction!#REF!,"AAAAAFt6T1w=")</f>
        <v>#REF!</v>
      </c>
      <c r="CP1" t="e">
        <f>AND(Introduction!#REF!,"AAAAAFt6T10=")</f>
        <v>#REF!</v>
      </c>
      <c r="CQ1" t="e">
        <f>AND(Introduction!#REF!,"AAAAAFt6T14=")</f>
        <v>#REF!</v>
      </c>
      <c r="CR1" t="e">
        <f>AND(Introduction!#REF!,"AAAAAFt6T18=")</f>
        <v>#REF!</v>
      </c>
      <c r="CS1" t="e">
        <f>AND(Introduction!#REF!,"AAAAAFt6T2A=")</f>
        <v>#REF!</v>
      </c>
      <c r="CT1" t="e">
        <f>AND(Introduction!#REF!,"AAAAAFt6T2E=")</f>
        <v>#REF!</v>
      </c>
      <c r="CU1" t="e">
        <f>AND(Introduction!#REF!,"AAAAAFt6T2I=")</f>
        <v>#REF!</v>
      </c>
      <c r="CV1" t="e">
        <f>IF(Introduction!#REF!,"AAAAAFt6T2M=",0)</f>
        <v>#REF!</v>
      </c>
      <c r="CW1" t="e">
        <f>AND(Introduction!#REF!,"AAAAAFt6T2Q=")</f>
        <v>#REF!</v>
      </c>
      <c r="CX1" t="e">
        <f>AND(Introduction!#REF!,"AAAAAFt6T2U=")</f>
        <v>#REF!</v>
      </c>
      <c r="CY1" t="e">
        <f>AND(Introduction!#REF!,"AAAAAFt6T2Y=")</f>
        <v>#REF!</v>
      </c>
      <c r="CZ1" t="e">
        <f>AND(Introduction!#REF!,"AAAAAFt6T2c=")</f>
        <v>#REF!</v>
      </c>
      <c r="DA1" t="e">
        <f>AND(Introduction!#REF!,"AAAAAFt6T2g=")</f>
        <v>#REF!</v>
      </c>
      <c r="DB1" t="e">
        <f>AND(Introduction!#REF!,"AAAAAFt6T2k=")</f>
        <v>#REF!</v>
      </c>
      <c r="DC1" t="e">
        <f>AND(Introduction!#REF!,"AAAAAFt6T2o=")</f>
        <v>#REF!</v>
      </c>
      <c r="DD1" t="e">
        <f>AND(Introduction!#REF!,"AAAAAFt6T2s=")</f>
        <v>#REF!</v>
      </c>
      <c r="DE1" t="e">
        <f>IF(Introduction!#REF!,"AAAAAFt6T2w=",0)</f>
        <v>#REF!</v>
      </c>
      <c r="DF1" t="e">
        <f>AND(Introduction!#REF!,"AAAAAFt6T20=")</f>
        <v>#REF!</v>
      </c>
      <c r="DG1" t="e">
        <f>AND(Introduction!#REF!,"AAAAAFt6T24=")</f>
        <v>#REF!</v>
      </c>
      <c r="DH1" t="e">
        <f>AND(Introduction!#REF!,"AAAAAFt6T28=")</f>
        <v>#REF!</v>
      </c>
      <c r="DI1" t="e">
        <f>AND(Introduction!#REF!,"AAAAAFt6T3A=")</f>
        <v>#REF!</v>
      </c>
      <c r="DJ1" t="e">
        <f>AND(Introduction!#REF!,"AAAAAFt6T3E=")</f>
        <v>#REF!</v>
      </c>
      <c r="DK1" t="e">
        <f>AND(Introduction!#REF!,"AAAAAFt6T3I=")</f>
        <v>#REF!</v>
      </c>
      <c r="DL1" t="e">
        <f>AND(Introduction!#REF!,"AAAAAFt6T3M=")</f>
        <v>#REF!</v>
      </c>
      <c r="DM1" t="e">
        <f>AND(Introduction!#REF!,"AAAAAFt6T3Q=")</f>
        <v>#REF!</v>
      </c>
      <c r="DN1" t="e">
        <f>IF(Introduction!#REF!,"AAAAAFt6T3U=",0)</f>
        <v>#REF!</v>
      </c>
      <c r="DO1" t="e">
        <f>AND(Introduction!#REF!,"AAAAAFt6T3Y=")</f>
        <v>#REF!</v>
      </c>
      <c r="DP1" t="e">
        <f>AND(Introduction!#REF!,"AAAAAFt6T3c=")</f>
        <v>#REF!</v>
      </c>
      <c r="DQ1" t="e">
        <f>AND(Introduction!#REF!,"AAAAAFt6T3g=")</f>
        <v>#REF!</v>
      </c>
      <c r="DR1" t="e">
        <f>AND(Introduction!#REF!,"AAAAAFt6T3k=")</f>
        <v>#REF!</v>
      </c>
      <c r="DS1" t="e">
        <f>AND(Introduction!#REF!,"AAAAAFt6T3o=")</f>
        <v>#REF!</v>
      </c>
      <c r="DT1" t="e">
        <f>AND(Introduction!#REF!,"AAAAAFt6T3s=")</f>
        <v>#REF!</v>
      </c>
      <c r="DU1" t="e">
        <f>AND(Introduction!#REF!,"AAAAAFt6T3w=")</f>
        <v>#REF!</v>
      </c>
      <c r="DV1" t="e">
        <f>AND(Introduction!#REF!,"AAAAAFt6T30=")</f>
        <v>#REF!</v>
      </c>
      <c r="DW1" t="e">
        <f>IF(Introduction!#REF!,"AAAAAFt6T34=",0)</f>
        <v>#REF!</v>
      </c>
      <c r="DX1" t="e">
        <f>AND(Introduction!#REF!,"AAAAAFt6T38=")</f>
        <v>#REF!</v>
      </c>
      <c r="DY1" t="e">
        <f>AND(Introduction!#REF!,"AAAAAFt6T4A=")</f>
        <v>#REF!</v>
      </c>
      <c r="DZ1" t="e">
        <f>AND(Introduction!#REF!,"AAAAAFt6T4E=")</f>
        <v>#REF!</v>
      </c>
      <c r="EA1" t="e">
        <f>AND(Introduction!#REF!,"AAAAAFt6T4I=")</f>
        <v>#REF!</v>
      </c>
      <c r="EB1" t="e">
        <f>AND(Introduction!#REF!,"AAAAAFt6T4M=")</f>
        <v>#REF!</v>
      </c>
      <c r="EC1" t="e">
        <f>AND(Introduction!#REF!,"AAAAAFt6T4Q=")</f>
        <v>#REF!</v>
      </c>
      <c r="ED1" t="e">
        <f>AND(Introduction!#REF!,"AAAAAFt6T4U=")</f>
        <v>#REF!</v>
      </c>
      <c r="EE1" t="e">
        <f>AND(Introduction!#REF!,"AAAAAFt6T4Y=")</f>
        <v>#REF!</v>
      </c>
      <c r="EF1">
        <f>IF(Introduction!32:32,"AAAAAFt6T4c=",0)</f>
        <v>0</v>
      </c>
      <c r="EG1" t="e">
        <f>AND(Introduction!A32,"AAAAAFt6T4g=")</f>
        <v>#VALUE!</v>
      </c>
      <c r="EH1" t="e">
        <f>AND(Introduction!B32,"AAAAAFt6T4k=")</f>
        <v>#VALUE!</v>
      </c>
      <c r="EI1" t="e">
        <f>IF(Introduction!#REF!,"AAAAAFt6T4o=",0)</f>
        <v>#REF!</v>
      </c>
      <c r="EJ1" t="e">
        <f>AND(Introduction!#REF!,"AAAAAFt6T4s=")</f>
        <v>#REF!</v>
      </c>
      <c r="EK1" t="e">
        <f>AND(Introduction!#REF!,"AAAAAFt6T4w=")</f>
        <v>#REF!</v>
      </c>
      <c r="EL1" t="e">
        <f>IF(Introduction!#REF!,"AAAAAFt6T40=",0)</f>
        <v>#REF!</v>
      </c>
      <c r="EM1" t="e">
        <f>AND(Introduction!#REF!,"AAAAAFt6T44=")</f>
        <v>#REF!</v>
      </c>
      <c r="EN1" t="e">
        <f>AND(Introduction!#REF!,"AAAAAFt6T48=")</f>
        <v>#REF!</v>
      </c>
      <c r="EO1" t="e">
        <f>IF(Introduction!#REF!,"AAAAAFt6T5A=",0)</f>
        <v>#REF!</v>
      </c>
      <c r="EP1" t="e">
        <f>AND(Introduction!#REF!,"AAAAAFt6T5E=")</f>
        <v>#REF!</v>
      </c>
      <c r="EQ1" t="e">
        <f>AND(Introduction!#REF!,"AAAAAFt6T5I=")</f>
        <v>#REF!</v>
      </c>
      <c r="ER1" t="e">
        <f>IF(Introduction!#REF!,"AAAAAFt6T5M=",0)</f>
        <v>#REF!</v>
      </c>
      <c r="ES1" t="e">
        <f>AND(Introduction!#REF!,"AAAAAFt6T5Q=")</f>
        <v>#REF!</v>
      </c>
      <c r="ET1" t="e">
        <f>AND(Introduction!#REF!,"AAAAAFt6T5U=")</f>
        <v>#REF!</v>
      </c>
      <c r="EU1" t="e">
        <f>IF(Introduction!#REF!,"AAAAAFt6T5Y=",0)</f>
        <v>#REF!</v>
      </c>
      <c r="EV1" t="e">
        <f>AND(Introduction!#REF!,"AAAAAFt6T5c=")</f>
        <v>#REF!</v>
      </c>
      <c r="EW1" t="e">
        <f>AND(Introduction!#REF!,"AAAAAFt6T5g=")</f>
        <v>#REF!</v>
      </c>
      <c r="EX1" t="e">
        <f>IF(Introduction!#REF!,"AAAAAFt6T5k=",0)</f>
        <v>#REF!</v>
      </c>
      <c r="EY1" t="e">
        <f>AND(Introduction!#REF!,"AAAAAFt6T5o=")</f>
        <v>#REF!</v>
      </c>
      <c r="EZ1" t="e">
        <f>AND(Introduction!#REF!,"AAAAAFt6T5s=")</f>
        <v>#REF!</v>
      </c>
      <c r="FA1">
        <f>IF(Introduction!38:38,"AAAAAFt6T5w=",0)</f>
        <v>0</v>
      </c>
      <c r="FB1" t="e">
        <f>AND(Introduction!A38,"AAAAAFt6T50=")</f>
        <v>#VALUE!</v>
      </c>
      <c r="FC1" t="e">
        <f>AND(Introduction!B38,"AAAAAFt6T54=")</f>
        <v>#VALUE!</v>
      </c>
      <c r="FD1">
        <f>IF(Introduction!39:39,"AAAAAFt6T58=",0)</f>
        <v>0</v>
      </c>
      <c r="FE1" t="e">
        <f>AND(Introduction!A39,"AAAAAFt6T6A=")</f>
        <v>#VALUE!</v>
      </c>
      <c r="FF1" t="e">
        <f>AND(Introduction!B39,"AAAAAFt6T6E=")</f>
        <v>#VALUE!</v>
      </c>
      <c r="FG1">
        <f>IF(Introduction!40:40,"AAAAAFt6T6I=",0)</f>
        <v>0</v>
      </c>
      <c r="FH1" t="e">
        <f>AND(Introduction!A40,"AAAAAFt6T6M=")</f>
        <v>#VALUE!</v>
      </c>
      <c r="FI1" t="e">
        <f>AND(Introduction!B40,"AAAAAFt6T6Q=")</f>
        <v>#VALUE!</v>
      </c>
      <c r="FJ1" t="e">
        <f>IF(Introduction!#REF!,"AAAAAFt6T6U=",0)</f>
        <v>#REF!</v>
      </c>
      <c r="FK1" t="e">
        <f>AND(Introduction!#REF!,"AAAAAFt6T6Y=")</f>
        <v>#REF!</v>
      </c>
      <c r="FL1" t="e">
        <f>AND(Introduction!#REF!,"AAAAAFt6T6c=")</f>
        <v>#REF!</v>
      </c>
      <c r="FM1" t="e">
        <f>IF(Introduction!#REF!,"AAAAAFt6T6g=",0)</f>
        <v>#REF!</v>
      </c>
      <c r="FN1" t="e">
        <f>AND(Introduction!#REF!,"AAAAAFt6T6k=")</f>
        <v>#REF!</v>
      </c>
      <c r="FO1" t="e">
        <f>AND(Introduction!#REF!,"AAAAAFt6T6o=")</f>
        <v>#REF!</v>
      </c>
      <c r="FP1" t="e">
        <f>IF(Introduction!#REF!,"AAAAAFt6T6s=",0)</f>
        <v>#REF!</v>
      </c>
      <c r="FQ1" t="e">
        <f>AND(Introduction!#REF!,"AAAAAFt6T6w=")</f>
        <v>#REF!</v>
      </c>
      <c r="FR1" t="e">
        <f>AND(Introduction!#REF!,"AAAAAFt6T60=")</f>
        <v>#REF!</v>
      </c>
      <c r="FS1" t="e">
        <f>IF(Introduction!A:A,"AAAAAFt6T64=",0)</f>
        <v>#VALUE!</v>
      </c>
      <c r="FT1">
        <f>IF(Introduction!B:B,"AAAAAFt6T68=",0)</f>
        <v>0</v>
      </c>
      <c r="FU1">
        <f>IF(Introduction!C:C,"AAAAAFt6T7A=",0)</f>
        <v>0</v>
      </c>
      <c r="FV1">
        <f>IF(Introduction!D:D,"AAAAAFt6T7E=",0)</f>
        <v>0</v>
      </c>
      <c r="FW1">
        <f>IF(Introduction!G:G,"AAAAAFt6T7I=",0)</f>
        <v>0</v>
      </c>
      <c r="FX1">
        <f>IF(Introduction!J:J,"AAAAAFt6T7M=",0)</f>
        <v>0</v>
      </c>
      <c r="FY1">
        <f>IF(Introduction!K:K,"AAAAAFt6T7Q=",0)</f>
        <v>0</v>
      </c>
      <c r="FZ1">
        <f>IF(Introduction!L:L,"AAAAAFt6T7U=",0)</f>
        <v>0</v>
      </c>
      <c r="GA1" t="e">
        <f>IF(#REF!,"AAAAAFt6T7Y=",0)</f>
        <v>#REF!</v>
      </c>
      <c r="GB1" t="e">
        <f>AND(#REF!,"AAAAAFt6T7c=")</f>
        <v>#REF!</v>
      </c>
      <c r="GC1" t="e">
        <f>AND(#REF!,"AAAAAFt6T7g=")</f>
        <v>#REF!</v>
      </c>
      <c r="GD1" t="e">
        <f>AND(#REF!,"AAAAAFt6T7k=")</f>
        <v>#REF!</v>
      </c>
      <c r="GE1" t="e">
        <f>AND(#REF!,"AAAAAFt6T7o=")</f>
        <v>#REF!</v>
      </c>
      <c r="GF1" t="e">
        <f>AND(#REF!,"AAAAAFt6T7s=")</f>
        <v>#REF!</v>
      </c>
      <c r="GG1" t="e">
        <f>AND(#REF!,"AAAAAFt6T7w=")</f>
        <v>#REF!</v>
      </c>
      <c r="GH1" t="e">
        <f>AND(#REF!,"AAAAAFt6T70=")</f>
        <v>#REF!</v>
      </c>
      <c r="GI1" t="e">
        <f>AND(#REF!,"AAAAAFt6T74=")</f>
        <v>#REF!</v>
      </c>
      <c r="GJ1" t="e">
        <f>AND(#REF!,"AAAAAFt6T78=")</f>
        <v>#REF!</v>
      </c>
      <c r="GK1" t="e">
        <f>AND(#REF!,"AAAAAFt6T8A=")</f>
        <v>#REF!</v>
      </c>
      <c r="GL1" t="e">
        <f>AND(#REF!,"AAAAAFt6T8E=")</f>
        <v>#REF!</v>
      </c>
      <c r="GM1" t="e">
        <f>AND(#REF!,"AAAAAFt6T8I=")</f>
        <v>#REF!</v>
      </c>
      <c r="GN1" t="e">
        <f>AND(#REF!,"AAAAAFt6T8M=")</f>
        <v>#REF!</v>
      </c>
      <c r="GO1" t="e">
        <f>AND(#REF!,"AAAAAFt6T8Q=")</f>
        <v>#REF!</v>
      </c>
      <c r="GP1" t="e">
        <f>AND(#REF!,"AAAAAFt6T8U=")</f>
        <v>#REF!</v>
      </c>
      <c r="GQ1" t="e">
        <f>AND(#REF!,"AAAAAFt6T8Y=")</f>
        <v>#REF!</v>
      </c>
      <c r="GR1" t="e">
        <f>AND(#REF!,"AAAAAFt6T8c=")</f>
        <v>#REF!</v>
      </c>
      <c r="GS1" t="e">
        <f>AND(#REF!,"AAAAAFt6T8g=")</f>
        <v>#REF!</v>
      </c>
      <c r="GT1" t="e">
        <f>IF(#REF!,"AAAAAFt6T8k=",0)</f>
        <v>#REF!</v>
      </c>
      <c r="GU1" t="e">
        <f>AND(#REF!,"AAAAAFt6T8o=")</f>
        <v>#REF!</v>
      </c>
      <c r="GV1" t="e">
        <f>AND(#REF!,"AAAAAFt6T8s=")</f>
        <v>#REF!</v>
      </c>
      <c r="GW1" t="e">
        <f>AND(#REF!,"AAAAAFt6T8w=")</f>
        <v>#REF!</v>
      </c>
      <c r="GX1" t="e">
        <f>AND(#REF!,"AAAAAFt6T80=")</f>
        <v>#REF!</v>
      </c>
      <c r="GY1" t="e">
        <f>AND(#REF!,"AAAAAFt6T84=")</f>
        <v>#REF!</v>
      </c>
      <c r="GZ1" t="e">
        <f>AND(#REF!,"AAAAAFt6T88=")</f>
        <v>#REF!</v>
      </c>
      <c r="HA1" t="e">
        <f>AND(#REF!,"AAAAAFt6T9A=")</f>
        <v>#REF!</v>
      </c>
      <c r="HB1" t="e">
        <f>AND(#REF!,"AAAAAFt6T9E=")</f>
        <v>#REF!</v>
      </c>
      <c r="HC1" t="e">
        <f>AND(#REF!,"AAAAAFt6T9I=")</f>
        <v>#REF!</v>
      </c>
      <c r="HD1" t="e">
        <f>AND(#REF!,"AAAAAFt6T9M=")</f>
        <v>#REF!</v>
      </c>
      <c r="HE1" t="e">
        <f>AND(#REF!,"AAAAAFt6T9Q=")</f>
        <v>#REF!</v>
      </c>
      <c r="HF1" t="e">
        <f>AND(#REF!,"AAAAAFt6T9U=")</f>
        <v>#REF!</v>
      </c>
      <c r="HG1" t="e">
        <f>AND(#REF!,"AAAAAFt6T9Y=")</f>
        <v>#REF!</v>
      </c>
      <c r="HH1" t="e">
        <f>AND(#REF!,"AAAAAFt6T9c=")</f>
        <v>#REF!</v>
      </c>
      <c r="HI1" t="e">
        <f>AND(#REF!,"AAAAAFt6T9g=")</f>
        <v>#REF!</v>
      </c>
      <c r="HJ1" t="e">
        <f>AND(#REF!,"AAAAAFt6T9k=")</f>
        <v>#REF!</v>
      </c>
      <c r="HK1" t="e">
        <f>AND(#REF!,"AAAAAFt6T9o=")</f>
        <v>#REF!</v>
      </c>
      <c r="HL1" t="e">
        <f>AND(#REF!,"AAAAAFt6T9s=")</f>
        <v>#REF!</v>
      </c>
      <c r="HM1" t="e">
        <f>IF(#REF!,"AAAAAFt6T9w=",0)</f>
        <v>#REF!</v>
      </c>
      <c r="HN1" t="e">
        <f>AND(#REF!,"AAAAAFt6T90=")</f>
        <v>#REF!</v>
      </c>
      <c r="HO1" t="e">
        <f>AND(#REF!,"AAAAAFt6T94=")</f>
        <v>#REF!</v>
      </c>
      <c r="HP1" t="e">
        <f>AND(#REF!,"AAAAAFt6T98=")</f>
        <v>#REF!</v>
      </c>
      <c r="HQ1" t="e">
        <f>AND(#REF!,"AAAAAFt6T+A=")</f>
        <v>#REF!</v>
      </c>
      <c r="HR1" t="e">
        <f>AND(#REF!,"AAAAAFt6T+E=")</f>
        <v>#REF!</v>
      </c>
      <c r="HS1" t="e">
        <f>AND(#REF!,"AAAAAFt6T+I=")</f>
        <v>#REF!</v>
      </c>
      <c r="HT1" t="e">
        <f>AND(#REF!,"AAAAAFt6T+M=")</f>
        <v>#REF!</v>
      </c>
      <c r="HU1" t="e">
        <f>AND(#REF!,"AAAAAFt6T+Q=")</f>
        <v>#REF!</v>
      </c>
      <c r="HV1" t="e">
        <f>AND(#REF!,"AAAAAFt6T+U=")</f>
        <v>#REF!</v>
      </c>
      <c r="HW1" t="e">
        <f>AND(#REF!,"AAAAAFt6T+Y=")</f>
        <v>#REF!</v>
      </c>
      <c r="HX1" t="e">
        <f>AND(#REF!,"AAAAAFt6T+c=")</f>
        <v>#REF!</v>
      </c>
      <c r="HY1" t="e">
        <f>AND(#REF!,"AAAAAFt6T+g=")</f>
        <v>#REF!</v>
      </c>
      <c r="HZ1" t="e">
        <f>AND(#REF!,"AAAAAFt6T+k=")</f>
        <v>#REF!</v>
      </c>
      <c r="IA1" t="e">
        <f>AND(#REF!,"AAAAAFt6T+o=")</f>
        <v>#REF!</v>
      </c>
      <c r="IB1" t="e">
        <f>AND(#REF!,"AAAAAFt6T+s=")</f>
        <v>#REF!</v>
      </c>
      <c r="IC1" t="e">
        <f>AND(#REF!,"AAAAAFt6T+w=")</f>
        <v>#REF!</v>
      </c>
      <c r="ID1" t="e">
        <f>AND(#REF!,"AAAAAFt6T+0=")</f>
        <v>#REF!</v>
      </c>
      <c r="IE1" t="e">
        <f>AND(#REF!,"AAAAAFt6T+4=")</f>
        <v>#REF!</v>
      </c>
      <c r="IF1" t="e">
        <f>IF(#REF!,"AAAAAFt6T+8=",0)</f>
        <v>#REF!</v>
      </c>
      <c r="IG1" t="e">
        <f>AND(#REF!,"AAAAAFt6T/A=")</f>
        <v>#REF!</v>
      </c>
      <c r="IH1" t="e">
        <f>AND(#REF!,"AAAAAFt6T/E=")</f>
        <v>#REF!</v>
      </c>
      <c r="II1" t="e">
        <f>AND(#REF!,"AAAAAFt6T/I=")</f>
        <v>#REF!</v>
      </c>
      <c r="IJ1" t="e">
        <f>AND(#REF!,"AAAAAFt6T/M=")</f>
        <v>#REF!</v>
      </c>
      <c r="IK1" t="e">
        <f>AND(#REF!,"AAAAAFt6T/Q=")</f>
        <v>#REF!</v>
      </c>
      <c r="IL1" t="e">
        <f>AND(#REF!,"AAAAAFt6T/U=")</f>
        <v>#REF!</v>
      </c>
      <c r="IM1" t="e">
        <f>AND(#REF!,"AAAAAFt6T/Y=")</f>
        <v>#REF!</v>
      </c>
      <c r="IN1" t="e">
        <f>AND(#REF!,"AAAAAFt6T/c=")</f>
        <v>#REF!</v>
      </c>
      <c r="IO1" t="e">
        <f>AND(#REF!,"AAAAAFt6T/g=")</f>
        <v>#REF!</v>
      </c>
      <c r="IP1" t="e">
        <f>AND(#REF!,"AAAAAFt6T/k=")</f>
        <v>#REF!</v>
      </c>
      <c r="IQ1" t="e">
        <f>AND(#REF!,"AAAAAFt6T/o=")</f>
        <v>#REF!</v>
      </c>
      <c r="IR1" t="e">
        <f>AND(#REF!,"AAAAAFt6T/s=")</f>
        <v>#REF!</v>
      </c>
      <c r="IS1" t="e">
        <f>AND(#REF!,"AAAAAFt6T/w=")</f>
        <v>#REF!</v>
      </c>
      <c r="IT1" t="e">
        <f>AND(#REF!,"AAAAAFt6T/0=")</f>
        <v>#REF!</v>
      </c>
      <c r="IU1" t="e">
        <f>AND(#REF!,"AAAAAFt6T/4=")</f>
        <v>#REF!</v>
      </c>
      <c r="IV1" t="e">
        <f>AND(#REF!,"AAAAAFt6T/8=")</f>
        <v>#REF!</v>
      </c>
    </row>
    <row r="2" spans="1:256">
      <c r="A2" t="e">
        <f>AND(#REF!,"AAAAAF4f6QA=")</f>
        <v>#REF!</v>
      </c>
      <c r="B2" t="e">
        <f>AND(#REF!,"AAAAAF4f6QE=")</f>
        <v>#REF!</v>
      </c>
      <c r="C2" t="e">
        <f>IF(#REF!,"AAAAAF4f6QI=",0)</f>
        <v>#REF!</v>
      </c>
      <c r="D2" t="e">
        <f>AND(#REF!,"AAAAAF4f6QM=")</f>
        <v>#REF!</v>
      </c>
      <c r="E2" t="e">
        <f>AND(#REF!,"AAAAAF4f6QQ=")</f>
        <v>#REF!</v>
      </c>
      <c r="F2" t="e">
        <f>AND(#REF!,"AAAAAF4f6QU=")</f>
        <v>#REF!</v>
      </c>
      <c r="G2" t="e">
        <f>AND(#REF!,"AAAAAF4f6QY=")</f>
        <v>#REF!</v>
      </c>
      <c r="H2" t="e">
        <f>AND(#REF!,"AAAAAF4f6Qc=")</f>
        <v>#REF!</v>
      </c>
      <c r="I2" t="e">
        <f>AND(#REF!,"AAAAAF4f6Qg=")</f>
        <v>#REF!</v>
      </c>
      <c r="J2" t="e">
        <f>AND(#REF!,"AAAAAF4f6Qk=")</f>
        <v>#REF!</v>
      </c>
      <c r="K2" t="e">
        <f>AND(#REF!,"AAAAAF4f6Qo=")</f>
        <v>#REF!</v>
      </c>
      <c r="L2" t="e">
        <f>AND(#REF!,"AAAAAF4f6Qs=")</f>
        <v>#REF!</v>
      </c>
      <c r="M2" t="e">
        <f>AND(#REF!,"AAAAAF4f6Qw=")</f>
        <v>#REF!</v>
      </c>
      <c r="N2" t="e">
        <f>AND(#REF!,"AAAAAF4f6Q0=")</f>
        <v>#REF!</v>
      </c>
      <c r="O2" t="e">
        <f>AND(#REF!,"AAAAAF4f6Q4=")</f>
        <v>#REF!</v>
      </c>
      <c r="P2" t="e">
        <f>AND(#REF!,"AAAAAF4f6Q8=")</f>
        <v>#REF!</v>
      </c>
      <c r="Q2" t="e">
        <f>AND(#REF!,"AAAAAF4f6RA=")</f>
        <v>#REF!</v>
      </c>
      <c r="R2" t="e">
        <f>AND(#REF!,"AAAAAF4f6RE=")</f>
        <v>#REF!</v>
      </c>
      <c r="S2" t="e">
        <f>AND(#REF!,"AAAAAF4f6RI=")</f>
        <v>#REF!</v>
      </c>
      <c r="T2" t="e">
        <f>AND(#REF!,"AAAAAF4f6RM=")</f>
        <v>#REF!</v>
      </c>
      <c r="U2" t="e">
        <f>AND(#REF!,"AAAAAF4f6RQ=")</f>
        <v>#REF!</v>
      </c>
      <c r="V2" t="e">
        <f>IF(#REF!,"AAAAAF4f6RU=",0)</f>
        <v>#REF!</v>
      </c>
      <c r="W2" t="e">
        <f>AND(#REF!,"AAAAAF4f6RY=")</f>
        <v>#REF!</v>
      </c>
      <c r="X2" t="e">
        <f>AND(#REF!,"AAAAAF4f6Rc=")</f>
        <v>#REF!</v>
      </c>
      <c r="Y2" t="e">
        <f>AND(#REF!,"AAAAAF4f6Rg=")</f>
        <v>#REF!</v>
      </c>
      <c r="Z2" t="e">
        <f>AND(#REF!,"AAAAAF4f6Rk=")</f>
        <v>#REF!</v>
      </c>
      <c r="AA2" t="e">
        <f>AND(#REF!,"AAAAAF4f6Ro=")</f>
        <v>#REF!</v>
      </c>
      <c r="AB2" t="e">
        <f>AND(#REF!,"AAAAAF4f6Rs=")</f>
        <v>#REF!</v>
      </c>
      <c r="AC2" t="e">
        <f>AND(#REF!,"AAAAAF4f6Rw=")</f>
        <v>#REF!</v>
      </c>
      <c r="AD2" t="e">
        <f>AND(#REF!,"AAAAAF4f6R0=")</f>
        <v>#REF!</v>
      </c>
      <c r="AE2" t="e">
        <f>AND(#REF!,"AAAAAF4f6R4=")</f>
        <v>#REF!</v>
      </c>
      <c r="AF2" t="e">
        <f>AND(#REF!,"AAAAAF4f6R8=")</f>
        <v>#REF!</v>
      </c>
      <c r="AG2" t="e">
        <f>AND(#REF!,"AAAAAF4f6SA=")</f>
        <v>#REF!</v>
      </c>
      <c r="AH2" t="e">
        <f>AND(#REF!,"AAAAAF4f6SE=")</f>
        <v>#REF!</v>
      </c>
      <c r="AI2" t="e">
        <f>AND(#REF!,"AAAAAF4f6SI=")</f>
        <v>#REF!</v>
      </c>
      <c r="AJ2" t="e">
        <f>AND(#REF!,"AAAAAF4f6SM=")</f>
        <v>#REF!</v>
      </c>
      <c r="AK2" t="e">
        <f>AND(#REF!,"AAAAAF4f6SQ=")</f>
        <v>#REF!</v>
      </c>
      <c r="AL2" t="e">
        <f>AND(#REF!,"AAAAAF4f6SU=")</f>
        <v>#REF!</v>
      </c>
      <c r="AM2" t="e">
        <f>AND(#REF!,"AAAAAF4f6SY=")</f>
        <v>#REF!</v>
      </c>
      <c r="AN2" t="e">
        <f>AND(#REF!,"AAAAAF4f6Sc=")</f>
        <v>#REF!</v>
      </c>
      <c r="AO2" t="e">
        <f>IF(#REF!,"AAAAAF4f6Sg=",0)</f>
        <v>#REF!</v>
      </c>
      <c r="AP2" t="e">
        <f>AND(#REF!,"AAAAAF4f6Sk=")</f>
        <v>#REF!</v>
      </c>
      <c r="AQ2" t="e">
        <f>AND(#REF!,"AAAAAF4f6So=")</f>
        <v>#REF!</v>
      </c>
      <c r="AR2" t="e">
        <f>AND(#REF!,"AAAAAF4f6Ss=")</f>
        <v>#REF!</v>
      </c>
      <c r="AS2" t="e">
        <f>AND(#REF!,"AAAAAF4f6Sw=")</f>
        <v>#REF!</v>
      </c>
      <c r="AT2" t="e">
        <f>AND(#REF!,"AAAAAF4f6S0=")</f>
        <v>#REF!</v>
      </c>
      <c r="AU2" t="e">
        <f>AND(#REF!,"AAAAAF4f6S4=")</f>
        <v>#REF!</v>
      </c>
      <c r="AV2" t="e">
        <f>AND(#REF!,"AAAAAF4f6S8=")</f>
        <v>#REF!</v>
      </c>
      <c r="AW2" t="e">
        <f>AND(#REF!,"AAAAAF4f6TA=")</f>
        <v>#REF!</v>
      </c>
      <c r="AX2" t="e">
        <f>AND(#REF!,"AAAAAF4f6TE=")</f>
        <v>#REF!</v>
      </c>
      <c r="AY2" t="e">
        <f>AND(#REF!,"AAAAAF4f6TI=")</f>
        <v>#REF!</v>
      </c>
      <c r="AZ2" t="e">
        <f>AND(#REF!,"AAAAAF4f6TM=")</f>
        <v>#REF!</v>
      </c>
      <c r="BA2" t="e">
        <f>AND(#REF!,"AAAAAF4f6TQ=")</f>
        <v>#REF!</v>
      </c>
      <c r="BB2" t="e">
        <f>AND(#REF!,"AAAAAF4f6TU=")</f>
        <v>#REF!</v>
      </c>
      <c r="BC2" t="e">
        <f>AND(#REF!,"AAAAAF4f6TY=")</f>
        <v>#REF!</v>
      </c>
      <c r="BD2" t="e">
        <f>AND(#REF!,"AAAAAF4f6Tc=")</f>
        <v>#REF!</v>
      </c>
      <c r="BE2" t="e">
        <f>AND(#REF!,"AAAAAF4f6Tg=")</f>
        <v>#REF!</v>
      </c>
      <c r="BF2" t="e">
        <f>AND(#REF!,"AAAAAF4f6Tk=")</f>
        <v>#REF!</v>
      </c>
      <c r="BG2" t="e">
        <f>AND(#REF!,"AAAAAF4f6To=")</f>
        <v>#REF!</v>
      </c>
      <c r="BH2" t="e">
        <f>IF(#REF!,"AAAAAF4f6Ts=",0)</f>
        <v>#REF!</v>
      </c>
      <c r="BI2" t="e">
        <f>AND(#REF!,"AAAAAF4f6Tw=")</f>
        <v>#REF!</v>
      </c>
      <c r="BJ2" t="e">
        <f>AND(#REF!,"AAAAAF4f6T0=")</f>
        <v>#REF!</v>
      </c>
      <c r="BK2" t="e">
        <f>AND(#REF!,"AAAAAF4f6T4=")</f>
        <v>#REF!</v>
      </c>
      <c r="BL2" t="e">
        <f>AND(#REF!,"AAAAAF4f6T8=")</f>
        <v>#REF!</v>
      </c>
      <c r="BM2" t="e">
        <f>AND(#REF!,"AAAAAF4f6UA=")</f>
        <v>#REF!</v>
      </c>
      <c r="BN2" t="e">
        <f>AND(#REF!,"AAAAAF4f6UE=")</f>
        <v>#REF!</v>
      </c>
      <c r="BO2" t="e">
        <f>AND(#REF!,"AAAAAF4f6UI=")</f>
        <v>#REF!</v>
      </c>
      <c r="BP2" t="e">
        <f>AND(#REF!,"AAAAAF4f6UM=")</f>
        <v>#REF!</v>
      </c>
      <c r="BQ2" t="e">
        <f>AND(#REF!,"AAAAAF4f6UQ=")</f>
        <v>#REF!</v>
      </c>
      <c r="BR2" t="e">
        <f>AND(#REF!,"AAAAAF4f6UU=")</f>
        <v>#REF!</v>
      </c>
      <c r="BS2" t="e">
        <f>AND(#REF!,"AAAAAF4f6UY=")</f>
        <v>#REF!</v>
      </c>
      <c r="BT2" t="e">
        <f>AND(#REF!,"AAAAAF4f6Uc=")</f>
        <v>#REF!</v>
      </c>
      <c r="BU2" t="e">
        <f>AND(#REF!,"AAAAAF4f6Ug=")</f>
        <v>#REF!</v>
      </c>
      <c r="BV2" t="e">
        <f>AND(#REF!,"AAAAAF4f6Uk=")</f>
        <v>#REF!</v>
      </c>
      <c r="BW2" t="e">
        <f>AND(#REF!,"AAAAAF4f6Uo=")</f>
        <v>#REF!</v>
      </c>
      <c r="BX2" t="e">
        <f>AND(#REF!,"AAAAAF4f6Us=")</f>
        <v>#REF!</v>
      </c>
      <c r="BY2" t="e">
        <f>AND(#REF!,"AAAAAF4f6Uw=")</f>
        <v>#REF!</v>
      </c>
      <c r="BZ2" t="e">
        <f>AND(#REF!,"AAAAAF4f6U0=")</f>
        <v>#REF!</v>
      </c>
      <c r="CA2" t="e">
        <f>IF(#REF!,"AAAAAF4f6U4=",0)</f>
        <v>#REF!</v>
      </c>
      <c r="CB2" t="e">
        <f>AND(#REF!,"AAAAAF4f6U8=")</f>
        <v>#REF!</v>
      </c>
      <c r="CC2" t="e">
        <f>AND(#REF!,"AAAAAF4f6VA=")</f>
        <v>#REF!</v>
      </c>
      <c r="CD2" t="e">
        <f>AND(#REF!,"AAAAAF4f6VE=")</f>
        <v>#REF!</v>
      </c>
      <c r="CE2" t="e">
        <f>AND(#REF!,"AAAAAF4f6VI=")</f>
        <v>#REF!</v>
      </c>
      <c r="CF2" t="e">
        <f>AND(#REF!,"AAAAAF4f6VM=")</f>
        <v>#REF!</v>
      </c>
      <c r="CG2" t="e">
        <f>AND(#REF!,"AAAAAF4f6VQ=")</f>
        <v>#REF!</v>
      </c>
      <c r="CH2" t="e">
        <f>AND(#REF!,"AAAAAF4f6VU=")</f>
        <v>#REF!</v>
      </c>
      <c r="CI2" t="e">
        <f>AND(#REF!,"AAAAAF4f6VY=")</f>
        <v>#REF!</v>
      </c>
      <c r="CJ2" t="e">
        <f>AND(#REF!,"AAAAAF4f6Vc=")</f>
        <v>#REF!</v>
      </c>
      <c r="CK2" t="e">
        <f>AND(#REF!,"AAAAAF4f6Vg=")</f>
        <v>#REF!</v>
      </c>
      <c r="CL2" t="e">
        <f>AND(#REF!,"AAAAAF4f6Vk=")</f>
        <v>#REF!</v>
      </c>
      <c r="CM2" t="e">
        <f>AND(#REF!,"AAAAAF4f6Vo=")</f>
        <v>#REF!</v>
      </c>
      <c r="CN2" t="e">
        <f>AND(#REF!,"AAAAAF4f6Vs=")</f>
        <v>#REF!</v>
      </c>
      <c r="CO2" t="e">
        <f>AND(#REF!,"AAAAAF4f6Vw=")</f>
        <v>#REF!</v>
      </c>
      <c r="CP2" t="e">
        <f>AND(#REF!,"AAAAAF4f6V0=")</f>
        <v>#REF!</v>
      </c>
      <c r="CQ2" t="e">
        <f>AND(#REF!,"AAAAAF4f6V4=")</f>
        <v>#REF!</v>
      </c>
      <c r="CR2" t="e">
        <f>AND(#REF!,"AAAAAF4f6V8=")</f>
        <v>#REF!</v>
      </c>
      <c r="CS2" t="e">
        <f>AND(#REF!,"AAAAAF4f6WA=")</f>
        <v>#REF!</v>
      </c>
      <c r="CT2" t="e">
        <f>IF(#REF!,"AAAAAF4f6WE=",0)</f>
        <v>#REF!</v>
      </c>
      <c r="CU2" t="e">
        <f>AND(#REF!,"AAAAAF4f6WI=")</f>
        <v>#REF!</v>
      </c>
      <c r="CV2" t="e">
        <f>AND(#REF!,"AAAAAF4f6WM=")</f>
        <v>#REF!</v>
      </c>
      <c r="CW2" t="e">
        <f>AND(#REF!,"AAAAAF4f6WQ=")</f>
        <v>#REF!</v>
      </c>
      <c r="CX2" t="e">
        <f>AND(#REF!,"AAAAAF4f6WU=")</f>
        <v>#REF!</v>
      </c>
      <c r="CY2" t="e">
        <f>AND(#REF!,"AAAAAF4f6WY=")</f>
        <v>#REF!</v>
      </c>
      <c r="CZ2" t="e">
        <f>AND(#REF!,"AAAAAF4f6Wc=")</f>
        <v>#REF!</v>
      </c>
      <c r="DA2" t="e">
        <f>AND(#REF!,"AAAAAF4f6Wg=")</f>
        <v>#REF!</v>
      </c>
      <c r="DB2" t="e">
        <f>AND(#REF!,"AAAAAF4f6Wk=")</f>
        <v>#REF!</v>
      </c>
      <c r="DC2" t="e">
        <f>AND(#REF!,"AAAAAF4f6Wo=")</f>
        <v>#REF!</v>
      </c>
      <c r="DD2" t="e">
        <f>AND(#REF!,"AAAAAF4f6Ws=")</f>
        <v>#REF!</v>
      </c>
      <c r="DE2" t="e">
        <f>AND(#REF!,"AAAAAF4f6Ww=")</f>
        <v>#REF!</v>
      </c>
      <c r="DF2" t="e">
        <f>AND(#REF!,"AAAAAF4f6W0=")</f>
        <v>#REF!</v>
      </c>
      <c r="DG2" t="e">
        <f>AND(#REF!,"AAAAAF4f6W4=")</f>
        <v>#REF!</v>
      </c>
      <c r="DH2" t="e">
        <f>AND(#REF!,"AAAAAF4f6W8=")</f>
        <v>#REF!</v>
      </c>
      <c r="DI2" t="e">
        <f>AND(#REF!,"AAAAAF4f6XA=")</f>
        <v>#REF!</v>
      </c>
      <c r="DJ2" t="e">
        <f>AND(#REF!,"AAAAAF4f6XE=")</f>
        <v>#REF!</v>
      </c>
      <c r="DK2" t="e">
        <f>AND(#REF!,"AAAAAF4f6XI=")</f>
        <v>#REF!</v>
      </c>
      <c r="DL2" t="e">
        <f>AND(#REF!,"AAAAAF4f6XM=")</f>
        <v>#REF!</v>
      </c>
      <c r="DM2" t="e">
        <f>IF(#REF!,"AAAAAF4f6XQ=",0)</f>
        <v>#REF!</v>
      </c>
      <c r="DN2" t="e">
        <f>AND(#REF!,"AAAAAF4f6XU=")</f>
        <v>#REF!</v>
      </c>
      <c r="DO2" t="e">
        <f>AND(#REF!,"AAAAAF4f6XY=")</f>
        <v>#REF!</v>
      </c>
      <c r="DP2" t="e">
        <f>AND(#REF!,"AAAAAF4f6Xc=")</f>
        <v>#REF!</v>
      </c>
      <c r="DQ2" t="e">
        <f>AND(#REF!,"AAAAAF4f6Xg=")</f>
        <v>#REF!</v>
      </c>
      <c r="DR2" t="e">
        <f>AND(#REF!,"AAAAAF4f6Xk=")</f>
        <v>#REF!</v>
      </c>
      <c r="DS2" t="e">
        <f>AND(#REF!,"AAAAAF4f6Xo=")</f>
        <v>#REF!</v>
      </c>
      <c r="DT2" t="e">
        <f>AND(#REF!,"AAAAAF4f6Xs=")</f>
        <v>#REF!</v>
      </c>
      <c r="DU2" t="e">
        <f>AND(#REF!,"AAAAAF4f6Xw=")</f>
        <v>#REF!</v>
      </c>
      <c r="DV2" t="e">
        <f>AND(#REF!,"AAAAAF4f6X0=")</f>
        <v>#REF!</v>
      </c>
      <c r="DW2" t="e">
        <f>AND(#REF!,"AAAAAF4f6X4=")</f>
        <v>#REF!</v>
      </c>
      <c r="DX2" t="e">
        <f>AND(#REF!,"AAAAAF4f6X8=")</f>
        <v>#REF!</v>
      </c>
      <c r="DY2" t="e">
        <f>AND(#REF!,"AAAAAF4f6YA=")</f>
        <v>#REF!</v>
      </c>
      <c r="DZ2" t="e">
        <f>AND(#REF!,"AAAAAF4f6YE=")</f>
        <v>#REF!</v>
      </c>
      <c r="EA2" t="e">
        <f>AND(#REF!,"AAAAAF4f6YI=")</f>
        <v>#REF!</v>
      </c>
      <c r="EB2" t="e">
        <f>AND(#REF!,"AAAAAF4f6YM=")</f>
        <v>#REF!</v>
      </c>
      <c r="EC2" t="e">
        <f>AND(#REF!,"AAAAAF4f6YQ=")</f>
        <v>#REF!</v>
      </c>
      <c r="ED2" t="e">
        <f>AND(#REF!,"AAAAAF4f6YU=")</f>
        <v>#REF!</v>
      </c>
      <c r="EE2" t="e">
        <f>AND(#REF!,"AAAAAF4f6YY=")</f>
        <v>#REF!</v>
      </c>
      <c r="EF2" t="e">
        <f>IF(#REF!,"AAAAAF4f6Yc=",0)</f>
        <v>#REF!</v>
      </c>
      <c r="EG2" t="e">
        <f>AND(#REF!,"AAAAAF4f6Yg=")</f>
        <v>#REF!</v>
      </c>
      <c r="EH2" t="e">
        <f>AND(#REF!,"AAAAAF4f6Yk=")</f>
        <v>#REF!</v>
      </c>
      <c r="EI2" t="e">
        <f>AND(#REF!,"AAAAAF4f6Yo=")</f>
        <v>#REF!</v>
      </c>
      <c r="EJ2" t="e">
        <f>AND(#REF!,"AAAAAF4f6Ys=")</f>
        <v>#REF!</v>
      </c>
      <c r="EK2" t="e">
        <f>AND(#REF!,"AAAAAF4f6Yw=")</f>
        <v>#REF!</v>
      </c>
      <c r="EL2" t="e">
        <f>AND(#REF!,"AAAAAF4f6Y0=")</f>
        <v>#REF!</v>
      </c>
      <c r="EM2" t="e">
        <f>AND(#REF!,"AAAAAF4f6Y4=")</f>
        <v>#REF!</v>
      </c>
      <c r="EN2" t="e">
        <f>AND(#REF!,"AAAAAF4f6Y8=")</f>
        <v>#REF!</v>
      </c>
      <c r="EO2" t="e">
        <f>AND(#REF!,"AAAAAF4f6ZA=")</f>
        <v>#REF!</v>
      </c>
      <c r="EP2" t="e">
        <f>AND(#REF!,"AAAAAF4f6ZE=")</f>
        <v>#REF!</v>
      </c>
      <c r="EQ2" t="e">
        <f>AND(#REF!,"AAAAAF4f6ZI=")</f>
        <v>#REF!</v>
      </c>
      <c r="ER2" t="e">
        <f>AND(#REF!,"AAAAAF4f6ZM=")</f>
        <v>#REF!</v>
      </c>
      <c r="ES2" t="e">
        <f>AND(#REF!,"AAAAAF4f6ZQ=")</f>
        <v>#REF!</v>
      </c>
      <c r="ET2" t="e">
        <f>AND(#REF!,"AAAAAF4f6ZU=")</f>
        <v>#REF!</v>
      </c>
      <c r="EU2" t="e">
        <f>AND(#REF!,"AAAAAF4f6ZY=")</f>
        <v>#REF!</v>
      </c>
      <c r="EV2" t="e">
        <f>AND(#REF!,"AAAAAF4f6Zc=")</f>
        <v>#REF!</v>
      </c>
      <c r="EW2" t="e">
        <f>AND(#REF!,"AAAAAF4f6Zg=")</f>
        <v>#REF!</v>
      </c>
      <c r="EX2" t="e">
        <f>AND(#REF!,"AAAAAF4f6Zk=")</f>
        <v>#REF!</v>
      </c>
      <c r="EY2" t="e">
        <f>IF(#REF!,"AAAAAF4f6Zo=",0)</f>
        <v>#REF!</v>
      </c>
      <c r="EZ2" t="e">
        <f>AND(#REF!,"AAAAAF4f6Zs=")</f>
        <v>#REF!</v>
      </c>
      <c r="FA2" t="e">
        <f>AND(#REF!,"AAAAAF4f6Zw=")</f>
        <v>#REF!</v>
      </c>
      <c r="FB2" t="e">
        <f>AND(#REF!,"AAAAAF4f6Z0=")</f>
        <v>#REF!</v>
      </c>
      <c r="FC2" t="e">
        <f>AND(#REF!,"AAAAAF4f6Z4=")</f>
        <v>#REF!</v>
      </c>
      <c r="FD2" t="e">
        <f>AND(#REF!,"AAAAAF4f6Z8=")</f>
        <v>#REF!</v>
      </c>
      <c r="FE2" t="e">
        <f>AND(#REF!,"AAAAAF4f6aA=")</f>
        <v>#REF!</v>
      </c>
      <c r="FF2" t="e">
        <f>AND(#REF!,"AAAAAF4f6aE=")</f>
        <v>#REF!</v>
      </c>
      <c r="FG2" t="e">
        <f>AND(#REF!,"AAAAAF4f6aI=")</f>
        <v>#REF!</v>
      </c>
      <c r="FH2" t="e">
        <f>AND(#REF!,"AAAAAF4f6aM=")</f>
        <v>#REF!</v>
      </c>
      <c r="FI2" t="e">
        <f>AND(#REF!,"AAAAAF4f6aQ=")</f>
        <v>#REF!</v>
      </c>
      <c r="FJ2" t="e">
        <f>AND(#REF!,"AAAAAF4f6aU=")</f>
        <v>#REF!</v>
      </c>
      <c r="FK2" t="e">
        <f>AND(#REF!,"AAAAAF4f6aY=")</f>
        <v>#REF!</v>
      </c>
      <c r="FL2" t="e">
        <f>AND(#REF!,"AAAAAF4f6ac=")</f>
        <v>#REF!</v>
      </c>
      <c r="FM2" t="e">
        <f>AND(#REF!,"AAAAAF4f6ag=")</f>
        <v>#REF!</v>
      </c>
      <c r="FN2" t="e">
        <f>AND(#REF!,"AAAAAF4f6ak=")</f>
        <v>#REF!</v>
      </c>
      <c r="FO2" t="e">
        <f>AND(#REF!,"AAAAAF4f6ao=")</f>
        <v>#REF!</v>
      </c>
      <c r="FP2" t="e">
        <f>AND(#REF!,"AAAAAF4f6as=")</f>
        <v>#REF!</v>
      </c>
      <c r="FQ2" t="e">
        <f>AND(#REF!,"AAAAAF4f6aw=")</f>
        <v>#REF!</v>
      </c>
      <c r="FR2" t="e">
        <f>IF(#REF!,"AAAAAF4f6a0=",0)</f>
        <v>#REF!</v>
      </c>
      <c r="FS2" t="e">
        <f>AND(#REF!,"AAAAAF4f6a4=")</f>
        <v>#REF!</v>
      </c>
      <c r="FT2" t="e">
        <f>AND(#REF!,"AAAAAF4f6a8=")</f>
        <v>#REF!</v>
      </c>
      <c r="FU2" t="e">
        <f>AND(#REF!,"AAAAAF4f6bA=")</f>
        <v>#REF!</v>
      </c>
      <c r="FV2" t="e">
        <f>AND(#REF!,"AAAAAF4f6bE=")</f>
        <v>#REF!</v>
      </c>
      <c r="FW2" t="e">
        <f>AND(#REF!,"AAAAAF4f6bI=")</f>
        <v>#REF!</v>
      </c>
      <c r="FX2" t="e">
        <f>AND(#REF!,"AAAAAF4f6bM=")</f>
        <v>#REF!</v>
      </c>
      <c r="FY2" t="e">
        <f>AND(#REF!,"AAAAAF4f6bQ=")</f>
        <v>#REF!</v>
      </c>
      <c r="FZ2" t="e">
        <f>AND(#REF!,"AAAAAF4f6bU=")</f>
        <v>#REF!</v>
      </c>
      <c r="GA2" t="e">
        <f>AND(#REF!,"AAAAAF4f6bY=")</f>
        <v>#REF!</v>
      </c>
      <c r="GB2" t="e">
        <f>AND(#REF!,"AAAAAF4f6bc=")</f>
        <v>#REF!</v>
      </c>
      <c r="GC2" t="e">
        <f>AND(#REF!,"AAAAAF4f6bg=")</f>
        <v>#REF!</v>
      </c>
      <c r="GD2" t="e">
        <f>AND(#REF!,"AAAAAF4f6bk=")</f>
        <v>#REF!</v>
      </c>
      <c r="GE2" t="e">
        <f>AND(#REF!,"AAAAAF4f6bo=")</f>
        <v>#REF!</v>
      </c>
      <c r="GF2" t="e">
        <f>AND(#REF!,"AAAAAF4f6bs=")</f>
        <v>#REF!</v>
      </c>
      <c r="GG2" t="e">
        <f>AND(#REF!,"AAAAAF4f6bw=")</f>
        <v>#REF!</v>
      </c>
      <c r="GH2" t="e">
        <f>AND(#REF!,"AAAAAF4f6b0=")</f>
        <v>#REF!</v>
      </c>
      <c r="GI2" t="e">
        <f>AND(#REF!,"AAAAAF4f6b4=")</f>
        <v>#REF!</v>
      </c>
      <c r="GJ2" t="e">
        <f>AND(#REF!,"AAAAAF4f6b8=")</f>
        <v>#REF!</v>
      </c>
      <c r="GK2" t="e">
        <f>IF(#REF!,"AAAAAF4f6cA=",0)</f>
        <v>#REF!</v>
      </c>
      <c r="GL2" t="e">
        <f>AND(#REF!,"AAAAAF4f6cE=")</f>
        <v>#REF!</v>
      </c>
      <c r="GM2" t="e">
        <f>AND(#REF!,"AAAAAF4f6cI=")</f>
        <v>#REF!</v>
      </c>
      <c r="GN2" t="e">
        <f>AND(#REF!,"AAAAAF4f6cM=")</f>
        <v>#REF!</v>
      </c>
      <c r="GO2" t="e">
        <f>AND(#REF!,"AAAAAF4f6cQ=")</f>
        <v>#REF!</v>
      </c>
      <c r="GP2" t="e">
        <f>AND(#REF!,"AAAAAF4f6cU=")</f>
        <v>#REF!</v>
      </c>
      <c r="GQ2" t="e">
        <f>AND(#REF!,"AAAAAF4f6cY=")</f>
        <v>#REF!</v>
      </c>
      <c r="GR2" t="e">
        <f>AND(#REF!,"AAAAAF4f6cc=")</f>
        <v>#REF!</v>
      </c>
      <c r="GS2" t="e">
        <f>AND(#REF!,"AAAAAF4f6cg=")</f>
        <v>#REF!</v>
      </c>
      <c r="GT2" t="e">
        <f>AND(#REF!,"AAAAAF4f6ck=")</f>
        <v>#REF!</v>
      </c>
      <c r="GU2" t="e">
        <f>AND(#REF!,"AAAAAF4f6co=")</f>
        <v>#REF!</v>
      </c>
      <c r="GV2" t="e">
        <f>AND(#REF!,"AAAAAF4f6cs=")</f>
        <v>#REF!</v>
      </c>
      <c r="GW2" t="e">
        <f>AND(#REF!,"AAAAAF4f6cw=")</f>
        <v>#REF!</v>
      </c>
      <c r="GX2" t="e">
        <f>AND(#REF!,"AAAAAF4f6c0=")</f>
        <v>#REF!</v>
      </c>
      <c r="GY2" t="e">
        <f>AND(#REF!,"AAAAAF4f6c4=")</f>
        <v>#REF!</v>
      </c>
      <c r="GZ2" t="e">
        <f>AND(#REF!,"AAAAAF4f6c8=")</f>
        <v>#REF!</v>
      </c>
      <c r="HA2" t="e">
        <f>AND(#REF!,"AAAAAF4f6dA=")</f>
        <v>#REF!</v>
      </c>
      <c r="HB2" t="e">
        <f>AND(#REF!,"AAAAAF4f6dE=")</f>
        <v>#REF!</v>
      </c>
      <c r="HC2" t="e">
        <f>AND(#REF!,"AAAAAF4f6dI=")</f>
        <v>#REF!</v>
      </c>
      <c r="HD2" t="e">
        <f>IF(#REF!,"AAAAAF4f6dM=",0)</f>
        <v>#REF!</v>
      </c>
      <c r="HE2" t="e">
        <f>AND(#REF!,"AAAAAF4f6dQ=")</f>
        <v>#REF!</v>
      </c>
      <c r="HF2" t="e">
        <f>AND(#REF!,"AAAAAF4f6dU=")</f>
        <v>#REF!</v>
      </c>
      <c r="HG2" t="e">
        <f>AND(#REF!,"AAAAAF4f6dY=")</f>
        <v>#REF!</v>
      </c>
      <c r="HH2" t="e">
        <f>AND(#REF!,"AAAAAF4f6dc=")</f>
        <v>#REF!</v>
      </c>
      <c r="HI2" t="e">
        <f>AND(#REF!,"AAAAAF4f6dg=")</f>
        <v>#REF!</v>
      </c>
      <c r="HJ2" t="e">
        <f>AND(#REF!,"AAAAAF4f6dk=")</f>
        <v>#REF!</v>
      </c>
      <c r="HK2" t="e">
        <f>AND(#REF!,"AAAAAF4f6do=")</f>
        <v>#REF!</v>
      </c>
      <c r="HL2" t="e">
        <f>AND(#REF!,"AAAAAF4f6ds=")</f>
        <v>#REF!</v>
      </c>
      <c r="HM2" t="e">
        <f>AND(#REF!,"AAAAAF4f6dw=")</f>
        <v>#REF!</v>
      </c>
      <c r="HN2" t="e">
        <f>AND(#REF!,"AAAAAF4f6d0=")</f>
        <v>#REF!</v>
      </c>
      <c r="HO2" t="e">
        <f>AND(#REF!,"AAAAAF4f6d4=")</f>
        <v>#REF!</v>
      </c>
      <c r="HP2" t="e">
        <f>AND(#REF!,"AAAAAF4f6d8=")</f>
        <v>#REF!</v>
      </c>
      <c r="HQ2" t="e">
        <f>AND(#REF!,"AAAAAF4f6eA=")</f>
        <v>#REF!</v>
      </c>
      <c r="HR2" t="e">
        <f>AND(#REF!,"AAAAAF4f6eE=")</f>
        <v>#REF!</v>
      </c>
      <c r="HS2" t="e">
        <f>AND(#REF!,"AAAAAF4f6eI=")</f>
        <v>#REF!</v>
      </c>
      <c r="HT2" t="e">
        <f>AND(#REF!,"AAAAAF4f6eM=")</f>
        <v>#REF!</v>
      </c>
      <c r="HU2" t="e">
        <f>AND(#REF!,"AAAAAF4f6eQ=")</f>
        <v>#REF!</v>
      </c>
      <c r="HV2" t="e">
        <f>AND(#REF!,"AAAAAF4f6eU=")</f>
        <v>#REF!</v>
      </c>
      <c r="HW2" t="e">
        <f>IF(#REF!,"AAAAAF4f6eY=",0)</f>
        <v>#REF!</v>
      </c>
      <c r="HX2" t="e">
        <f>AND(#REF!,"AAAAAF4f6ec=")</f>
        <v>#REF!</v>
      </c>
      <c r="HY2" t="e">
        <f>AND(#REF!,"AAAAAF4f6eg=")</f>
        <v>#REF!</v>
      </c>
      <c r="HZ2" t="e">
        <f>AND(#REF!,"AAAAAF4f6ek=")</f>
        <v>#REF!</v>
      </c>
      <c r="IA2" t="e">
        <f>AND(#REF!,"AAAAAF4f6eo=")</f>
        <v>#REF!</v>
      </c>
      <c r="IB2" t="e">
        <f>AND(#REF!,"AAAAAF4f6es=")</f>
        <v>#REF!</v>
      </c>
      <c r="IC2" t="e">
        <f>AND(#REF!,"AAAAAF4f6ew=")</f>
        <v>#REF!</v>
      </c>
      <c r="ID2" t="e">
        <f>AND(#REF!,"AAAAAF4f6e0=")</f>
        <v>#REF!</v>
      </c>
      <c r="IE2" t="e">
        <f>AND(#REF!,"AAAAAF4f6e4=")</f>
        <v>#REF!</v>
      </c>
      <c r="IF2" t="e">
        <f>AND(#REF!,"AAAAAF4f6e8=")</f>
        <v>#REF!</v>
      </c>
      <c r="IG2" t="e">
        <f>AND(#REF!,"AAAAAF4f6fA=")</f>
        <v>#REF!</v>
      </c>
      <c r="IH2" t="e">
        <f>AND(#REF!,"AAAAAF4f6fE=")</f>
        <v>#REF!</v>
      </c>
      <c r="II2" t="e">
        <f>AND(#REF!,"AAAAAF4f6fI=")</f>
        <v>#REF!</v>
      </c>
      <c r="IJ2" t="e">
        <f>AND(#REF!,"AAAAAF4f6fM=")</f>
        <v>#REF!</v>
      </c>
      <c r="IK2" t="e">
        <f>AND(#REF!,"AAAAAF4f6fQ=")</f>
        <v>#REF!</v>
      </c>
      <c r="IL2" t="e">
        <f>AND(#REF!,"AAAAAF4f6fU=")</f>
        <v>#REF!</v>
      </c>
      <c r="IM2" t="e">
        <f>AND(#REF!,"AAAAAF4f6fY=")</f>
        <v>#REF!</v>
      </c>
      <c r="IN2" t="e">
        <f>AND(#REF!,"AAAAAF4f6fc=")</f>
        <v>#REF!</v>
      </c>
      <c r="IO2" t="e">
        <f>AND(#REF!,"AAAAAF4f6fg=")</f>
        <v>#REF!</v>
      </c>
      <c r="IP2" t="e">
        <f>IF(#REF!,"AAAAAF4f6fk=",0)</f>
        <v>#REF!</v>
      </c>
      <c r="IQ2" t="e">
        <f>AND(#REF!,"AAAAAF4f6fo=")</f>
        <v>#REF!</v>
      </c>
      <c r="IR2" t="e">
        <f>AND(#REF!,"AAAAAF4f6fs=")</f>
        <v>#REF!</v>
      </c>
      <c r="IS2" t="e">
        <f>AND(#REF!,"AAAAAF4f6fw=")</f>
        <v>#REF!</v>
      </c>
      <c r="IT2" t="e">
        <f>AND(#REF!,"AAAAAF4f6f0=")</f>
        <v>#REF!</v>
      </c>
      <c r="IU2" t="e">
        <f>AND(#REF!,"AAAAAF4f6f4=")</f>
        <v>#REF!</v>
      </c>
      <c r="IV2" t="e">
        <f>AND(#REF!,"AAAAAF4f6f8=")</f>
        <v>#REF!</v>
      </c>
    </row>
    <row r="3" spans="1:256">
      <c r="A3" t="e">
        <f>AND(#REF!,"AAAAAH+/WgA=")</f>
        <v>#REF!</v>
      </c>
      <c r="B3" t="e">
        <f>AND(#REF!,"AAAAAH+/WgE=")</f>
        <v>#REF!</v>
      </c>
      <c r="C3" t="e">
        <f>AND(#REF!,"AAAAAH+/WgI=")</f>
        <v>#REF!</v>
      </c>
      <c r="D3" t="e">
        <f>AND(#REF!,"AAAAAH+/WgM=")</f>
        <v>#REF!</v>
      </c>
      <c r="E3" t="e">
        <f>AND(#REF!,"AAAAAH+/WgQ=")</f>
        <v>#REF!</v>
      </c>
      <c r="F3" t="e">
        <f>AND(#REF!,"AAAAAH+/WgU=")</f>
        <v>#REF!</v>
      </c>
      <c r="G3" t="e">
        <f>AND(#REF!,"AAAAAH+/WgY=")</f>
        <v>#REF!</v>
      </c>
      <c r="H3" t="e">
        <f>AND(#REF!,"AAAAAH+/Wgc=")</f>
        <v>#REF!</v>
      </c>
      <c r="I3" t="e">
        <f>AND(#REF!,"AAAAAH+/Wgg=")</f>
        <v>#REF!</v>
      </c>
      <c r="J3" t="e">
        <f>AND(#REF!,"AAAAAH+/Wgk=")</f>
        <v>#REF!</v>
      </c>
      <c r="K3" t="e">
        <f>AND(#REF!,"AAAAAH+/Wgo=")</f>
        <v>#REF!</v>
      </c>
      <c r="L3" t="e">
        <f>AND(#REF!,"AAAAAH+/Wgs=")</f>
        <v>#REF!</v>
      </c>
      <c r="M3" t="e">
        <f>IF(#REF!,"AAAAAH+/Wgw=",0)</f>
        <v>#REF!</v>
      </c>
      <c r="N3" t="e">
        <f>AND(#REF!,"AAAAAH+/Wg0=")</f>
        <v>#REF!</v>
      </c>
      <c r="O3" t="e">
        <f>AND(#REF!,"AAAAAH+/Wg4=")</f>
        <v>#REF!</v>
      </c>
      <c r="P3" t="e">
        <f>AND(#REF!,"AAAAAH+/Wg8=")</f>
        <v>#REF!</v>
      </c>
      <c r="Q3" t="e">
        <f>AND(#REF!,"AAAAAH+/WhA=")</f>
        <v>#REF!</v>
      </c>
      <c r="R3" t="e">
        <f>AND(#REF!,"AAAAAH+/WhE=")</f>
        <v>#REF!</v>
      </c>
      <c r="S3" t="e">
        <f>AND(#REF!,"AAAAAH+/WhI=")</f>
        <v>#REF!</v>
      </c>
      <c r="T3" t="e">
        <f>AND(#REF!,"AAAAAH+/WhM=")</f>
        <v>#REF!</v>
      </c>
      <c r="U3" t="e">
        <f>AND(#REF!,"AAAAAH+/WhQ=")</f>
        <v>#REF!</v>
      </c>
      <c r="V3" t="e">
        <f>AND(#REF!,"AAAAAH+/WhU=")</f>
        <v>#REF!</v>
      </c>
      <c r="W3" t="e">
        <f>AND(#REF!,"AAAAAH+/WhY=")</f>
        <v>#REF!</v>
      </c>
      <c r="X3" t="e">
        <f>AND(#REF!,"AAAAAH+/Whc=")</f>
        <v>#REF!</v>
      </c>
      <c r="Y3" t="e">
        <f>AND(#REF!,"AAAAAH+/Whg=")</f>
        <v>#REF!</v>
      </c>
      <c r="Z3" t="e">
        <f>AND(#REF!,"AAAAAH+/Whk=")</f>
        <v>#REF!</v>
      </c>
      <c r="AA3" t="e">
        <f>AND(#REF!,"AAAAAH+/Who=")</f>
        <v>#REF!</v>
      </c>
      <c r="AB3" t="e">
        <f>AND(#REF!,"AAAAAH+/Whs=")</f>
        <v>#REF!</v>
      </c>
      <c r="AC3" t="e">
        <f>AND(#REF!,"AAAAAH+/Whw=")</f>
        <v>#REF!</v>
      </c>
      <c r="AD3" t="e">
        <f>AND(#REF!,"AAAAAH+/Wh0=")</f>
        <v>#REF!</v>
      </c>
      <c r="AE3" t="e">
        <f>AND(#REF!,"AAAAAH+/Wh4=")</f>
        <v>#REF!</v>
      </c>
      <c r="AF3" t="e">
        <f>IF(#REF!,"AAAAAH+/Wh8=",0)</f>
        <v>#REF!</v>
      </c>
      <c r="AG3" t="e">
        <f>AND(#REF!,"AAAAAH+/WiA=")</f>
        <v>#REF!</v>
      </c>
      <c r="AH3" t="e">
        <f>AND(#REF!,"AAAAAH+/WiE=")</f>
        <v>#REF!</v>
      </c>
      <c r="AI3" t="e">
        <f>AND(#REF!,"AAAAAH+/WiI=")</f>
        <v>#REF!</v>
      </c>
      <c r="AJ3" t="e">
        <f>AND(#REF!,"AAAAAH+/WiM=")</f>
        <v>#REF!</v>
      </c>
      <c r="AK3" t="e">
        <f>AND(#REF!,"AAAAAH+/WiQ=")</f>
        <v>#REF!</v>
      </c>
      <c r="AL3" t="e">
        <f>AND(#REF!,"AAAAAH+/WiU=")</f>
        <v>#REF!</v>
      </c>
      <c r="AM3" t="e">
        <f>AND(#REF!,"AAAAAH+/WiY=")</f>
        <v>#REF!</v>
      </c>
      <c r="AN3" t="e">
        <f>AND(#REF!,"AAAAAH+/Wic=")</f>
        <v>#REF!</v>
      </c>
      <c r="AO3" t="e">
        <f>AND(#REF!,"AAAAAH+/Wig=")</f>
        <v>#REF!</v>
      </c>
      <c r="AP3" t="e">
        <f>AND(#REF!,"AAAAAH+/Wik=")</f>
        <v>#REF!</v>
      </c>
      <c r="AQ3" t="e">
        <f>AND(#REF!,"AAAAAH+/Wio=")</f>
        <v>#REF!</v>
      </c>
      <c r="AR3" t="e">
        <f>AND(#REF!,"AAAAAH+/Wis=")</f>
        <v>#REF!</v>
      </c>
      <c r="AS3" t="e">
        <f>AND(#REF!,"AAAAAH+/Wiw=")</f>
        <v>#REF!</v>
      </c>
      <c r="AT3" t="e">
        <f>AND(#REF!,"AAAAAH+/Wi0=")</f>
        <v>#REF!</v>
      </c>
      <c r="AU3" t="e">
        <f>AND(#REF!,"AAAAAH+/Wi4=")</f>
        <v>#REF!</v>
      </c>
      <c r="AV3" t="e">
        <f>AND(#REF!,"AAAAAH+/Wi8=")</f>
        <v>#REF!</v>
      </c>
      <c r="AW3" t="e">
        <f>AND(#REF!,"AAAAAH+/WjA=")</f>
        <v>#REF!</v>
      </c>
      <c r="AX3" t="e">
        <f>AND(#REF!,"AAAAAH+/WjE=")</f>
        <v>#REF!</v>
      </c>
      <c r="AY3" t="e">
        <f>IF(#REF!,"AAAAAH+/WjI=",0)</f>
        <v>#REF!</v>
      </c>
      <c r="AZ3" t="e">
        <f>AND(#REF!,"AAAAAH+/WjM=")</f>
        <v>#REF!</v>
      </c>
      <c r="BA3" t="e">
        <f>AND(#REF!,"AAAAAH+/WjQ=")</f>
        <v>#REF!</v>
      </c>
      <c r="BB3" t="e">
        <f>AND(#REF!,"AAAAAH+/WjU=")</f>
        <v>#REF!</v>
      </c>
      <c r="BC3" t="e">
        <f>AND(#REF!,"AAAAAH+/WjY=")</f>
        <v>#REF!</v>
      </c>
      <c r="BD3" t="e">
        <f>AND(#REF!,"AAAAAH+/Wjc=")</f>
        <v>#REF!</v>
      </c>
      <c r="BE3" t="e">
        <f>AND(#REF!,"AAAAAH+/Wjg=")</f>
        <v>#REF!</v>
      </c>
      <c r="BF3" t="e">
        <f>AND(#REF!,"AAAAAH+/Wjk=")</f>
        <v>#REF!</v>
      </c>
      <c r="BG3" t="e">
        <f>AND(#REF!,"AAAAAH+/Wjo=")</f>
        <v>#REF!</v>
      </c>
      <c r="BH3" t="e">
        <f>AND(#REF!,"AAAAAH+/Wjs=")</f>
        <v>#REF!</v>
      </c>
      <c r="BI3" t="e">
        <f>AND(#REF!,"AAAAAH+/Wjw=")</f>
        <v>#REF!</v>
      </c>
      <c r="BJ3" t="e">
        <f>AND(#REF!,"AAAAAH+/Wj0=")</f>
        <v>#REF!</v>
      </c>
      <c r="BK3" t="e">
        <f>AND(#REF!,"AAAAAH+/Wj4=")</f>
        <v>#REF!</v>
      </c>
      <c r="BL3" t="e">
        <f>AND(#REF!,"AAAAAH+/Wj8=")</f>
        <v>#REF!</v>
      </c>
      <c r="BM3" t="e">
        <f>AND(#REF!,"AAAAAH+/WkA=")</f>
        <v>#REF!</v>
      </c>
      <c r="BN3" t="e">
        <f>AND(#REF!,"AAAAAH+/WkE=")</f>
        <v>#REF!</v>
      </c>
      <c r="BO3" t="e">
        <f>AND(#REF!,"AAAAAH+/WkI=")</f>
        <v>#REF!</v>
      </c>
      <c r="BP3" t="e">
        <f>AND(#REF!,"AAAAAH+/WkM=")</f>
        <v>#REF!</v>
      </c>
      <c r="BQ3" t="e">
        <f>AND(#REF!,"AAAAAH+/WkQ=")</f>
        <v>#REF!</v>
      </c>
      <c r="BR3" t="e">
        <f>IF(#REF!,"AAAAAH+/WkU=",0)</f>
        <v>#REF!</v>
      </c>
      <c r="BS3" t="e">
        <f>AND(#REF!,"AAAAAH+/WkY=")</f>
        <v>#REF!</v>
      </c>
      <c r="BT3" t="e">
        <f>AND(#REF!,"AAAAAH+/Wkc=")</f>
        <v>#REF!</v>
      </c>
      <c r="BU3" t="e">
        <f>AND(#REF!,"AAAAAH+/Wkg=")</f>
        <v>#REF!</v>
      </c>
      <c r="BV3" t="e">
        <f>AND(#REF!,"AAAAAH+/Wkk=")</f>
        <v>#REF!</v>
      </c>
      <c r="BW3" t="e">
        <f>AND(#REF!,"AAAAAH+/Wko=")</f>
        <v>#REF!</v>
      </c>
      <c r="BX3" t="e">
        <f>AND(#REF!,"AAAAAH+/Wks=")</f>
        <v>#REF!</v>
      </c>
      <c r="BY3" t="e">
        <f>AND(#REF!,"AAAAAH+/Wkw=")</f>
        <v>#REF!</v>
      </c>
      <c r="BZ3" t="e">
        <f>AND(#REF!,"AAAAAH+/Wk0=")</f>
        <v>#REF!</v>
      </c>
      <c r="CA3" t="e">
        <f>AND(#REF!,"AAAAAH+/Wk4=")</f>
        <v>#REF!</v>
      </c>
      <c r="CB3" t="e">
        <f>AND(#REF!,"AAAAAH+/Wk8=")</f>
        <v>#REF!</v>
      </c>
      <c r="CC3" t="e">
        <f>AND(#REF!,"AAAAAH+/WlA=")</f>
        <v>#REF!</v>
      </c>
      <c r="CD3" t="e">
        <f>AND(#REF!,"AAAAAH+/WlE=")</f>
        <v>#REF!</v>
      </c>
      <c r="CE3" t="e">
        <f>AND(#REF!,"AAAAAH+/WlI=")</f>
        <v>#REF!</v>
      </c>
      <c r="CF3" t="e">
        <f>AND(#REF!,"AAAAAH+/WlM=")</f>
        <v>#REF!</v>
      </c>
      <c r="CG3" t="e">
        <f>AND(#REF!,"AAAAAH+/WlQ=")</f>
        <v>#REF!</v>
      </c>
      <c r="CH3" t="e">
        <f>AND(#REF!,"AAAAAH+/WlU=")</f>
        <v>#REF!</v>
      </c>
      <c r="CI3" t="e">
        <f>AND(#REF!,"AAAAAH+/WlY=")</f>
        <v>#REF!</v>
      </c>
      <c r="CJ3" t="e">
        <f>AND(#REF!,"AAAAAH+/Wlc=")</f>
        <v>#REF!</v>
      </c>
      <c r="CK3" t="e">
        <f>IF(#REF!,"AAAAAH+/Wlg=",0)</f>
        <v>#REF!</v>
      </c>
      <c r="CL3" t="e">
        <f>AND(#REF!,"AAAAAH+/Wlk=")</f>
        <v>#REF!</v>
      </c>
      <c r="CM3" t="e">
        <f>AND(#REF!,"AAAAAH+/Wlo=")</f>
        <v>#REF!</v>
      </c>
      <c r="CN3" t="e">
        <f>AND(#REF!,"AAAAAH+/Wls=")</f>
        <v>#REF!</v>
      </c>
      <c r="CO3" t="e">
        <f>AND(#REF!,"AAAAAH+/Wlw=")</f>
        <v>#REF!</v>
      </c>
      <c r="CP3" t="e">
        <f>AND(#REF!,"AAAAAH+/Wl0=")</f>
        <v>#REF!</v>
      </c>
      <c r="CQ3" t="e">
        <f>AND(#REF!,"AAAAAH+/Wl4=")</f>
        <v>#REF!</v>
      </c>
      <c r="CR3" t="e">
        <f>AND(#REF!,"AAAAAH+/Wl8=")</f>
        <v>#REF!</v>
      </c>
      <c r="CS3" t="e">
        <f>AND(#REF!,"AAAAAH+/WmA=")</f>
        <v>#REF!</v>
      </c>
      <c r="CT3" t="e">
        <f>AND(#REF!,"AAAAAH+/WmE=")</f>
        <v>#REF!</v>
      </c>
      <c r="CU3" t="e">
        <f>AND(#REF!,"AAAAAH+/WmI=")</f>
        <v>#REF!</v>
      </c>
      <c r="CV3" t="e">
        <f>AND(#REF!,"AAAAAH+/WmM=")</f>
        <v>#REF!</v>
      </c>
      <c r="CW3" t="e">
        <f>AND(#REF!,"AAAAAH+/WmQ=")</f>
        <v>#REF!</v>
      </c>
      <c r="CX3" t="e">
        <f>AND(#REF!,"AAAAAH+/WmU=")</f>
        <v>#REF!</v>
      </c>
      <c r="CY3" t="e">
        <f>AND(#REF!,"AAAAAH+/WmY=")</f>
        <v>#REF!</v>
      </c>
      <c r="CZ3" t="e">
        <f>AND(#REF!,"AAAAAH+/Wmc=")</f>
        <v>#REF!</v>
      </c>
      <c r="DA3" t="e">
        <f>AND(#REF!,"AAAAAH+/Wmg=")</f>
        <v>#REF!</v>
      </c>
      <c r="DB3" t="e">
        <f>AND(#REF!,"AAAAAH+/Wmk=")</f>
        <v>#REF!</v>
      </c>
      <c r="DC3" t="e">
        <f>AND(#REF!,"AAAAAH+/Wmo=")</f>
        <v>#REF!</v>
      </c>
      <c r="DD3" t="e">
        <f>IF(#REF!,"AAAAAH+/Wms=",0)</f>
        <v>#REF!</v>
      </c>
      <c r="DE3" t="e">
        <f>AND(#REF!,"AAAAAH+/Wmw=")</f>
        <v>#REF!</v>
      </c>
      <c r="DF3" t="e">
        <f>AND(#REF!,"AAAAAH+/Wm0=")</f>
        <v>#REF!</v>
      </c>
      <c r="DG3" t="e">
        <f>AND(#REF!,"AAAAAH+/Wm4=")</f>
        <v>#REF!</v>
      </c>
      <c r="DH3" t="e">
        <f>AND(#REF!,"AAAAAH+/Wm8=")</f>
        <v>#REF!</v>
      </c>
      <c r="DI3" t="e">
        <f>AND(#REF!,"AAAAAH+/WnA=")</f>
        <v>#REF!</v>
      </c>
      <c r="DJ3" t="e">
        <f>AND(#REF!,"AAAAAH+/WnE=")</f>
        <v>#REF!</v>
      </c>
      <c r="DK3" t="e">
        <f>AND(#REF!,"AAAAAH+/WnI=")</f>
        <v>#REF!</v>
      </c>
      <c r="DL3" t="e">
        <f>AND(#REF!,"AAAAAH+/WnM=")</f>
        <v>#REF!</v>
      </c>
      <c r="DM3" t="e">
        <f>AND(#REF!,"AAAAAH+/WnQ=")</f>
        <v>#REF!</v>
      </c>
      <c r="DN3" t="e">
        <f>AND(#REF!,"AAAAAH+/WnU=")</f>
        <v>#REF!</v>
      </c>
      <c r="DO3" t="e">
        <f>AND(#REF!,"AAAAAH+/WnY=")</f>
        <v>#REF!</v>
      </c>
      <c r="DP3" t="e">
        <f>AND(#REF!,"AAAAAH+/Wnc=")</f>
        <v>#REF!</v>
      </c>
      <c r="DQ3" t="e">
        <f>AND(#REF!,"AAAAAH+/Wng=")</f>
        <v>#REF!</v>
      </c>
      <c r="DR3" t="e">
        <f>AND(#REF!,"AAAAAH+/Wnk=")</f>
        <v>#REF!</v>
      </c>
      <c r="DS3" t="e">
        <f>AND(#REF!,"AAAAAH+/Wno=")</f>
        <v>#REF!</v>
      </c>
      <c r="DT3" t="e">
        <f>AND(#REF!,"AAAAAH+/Wns=")</f>
        <v>#REF!</v>
      </c>
      <c r="DU3" t="e">
        <f>AND(#REF!,"AAAAAH+/Wnw=")</f>
        <v>#REF!</v>
      </c>
      <c r="DV3" t="e">
        <f>AND(#REF!,"AAAAAH+/Wn0=")</f>
        <v>#REF!</v>
      </c>
      <c r="DW3" t="e">
        <f>IF(#REF!,"AAAAAH+/Wn4=",0)</f>
        <v>#REF!</v>
      </c>
      <c r="DX3" t="e">
        <f>AND(#REF!,"AAAAAH+/Wn8=")</f>
        <v>#REF!</v>
      </c>
      <c r="DY3" t="e">
        <f>AND(#REF!,"AAAAAH+/WoA=")</f>
        <v>#REF!</v>
      </c>
      <c r="DZ3" t="e">
        <f>AND(#REF!,"AAAAAH+/WoE=")</f>
        <v>#REF!</v>
      </c>
      <c r="EA3" t="e">
        <f>AND(#REF!,"AAAAAH+/WoI=")</f>
        <v>#REF!</v>
      </c>
      <c r="EB3" t="e">
        <f>AND(#REF!,"AAAAAH+/WoM=")</f>
        <v>#REF!</v>
      </c>
      <c r="EC3" t="e">
        <f>AND(#REF!,"AAAAAH+/WoQ=")</f>
        <v>#REF!</v>
      </c>
      <c r="ED3" t="e">
        <f>AND(#REF!,"AAAAAH+/WoU=")</f>
        <v>#REF!</v>
      </c>
      <c r="EE3" t="e">
        <f>AND(#REF!,"AAAAAH+/WoY=")</f>
        <v>#REF!</v>
      </c>
      <c r="EF3" t="e">
        <f>AND(#REF!,"AAAAAH+/Woc=")</f>
        <v>#REF!</v>
      </c>
      <c r="EG3" t="e">
        <f>AND(#REF!,"AAAAAH+/Wog=")</f>
        <v>#REF!</v>
      </c>
      <c r="EH3" t="e">
        <f>AND(#REF!,"AAAAAH+/Wok=")</f>
        <v>#REF!</v>
      </c>
      <c r="EI3" t="e">
        <f>AND(#REF!,"AAAAAH+/Woo=")</f>
        <v>#REF!</v>
      </c>
      <c r="EJ3" t="e">
        <f>AND(#REF!,"AAAAAH+/Wos=")</f>
        <v>#REF!</v>
      </c>
      <c r="EK3" t="e">
        <f>AND(#REF!,"AAAAAH+/Wow=")</f>
        <v>#REF!</v>
      </c>
      <c r="EL3" t="e">
        <f>AND(#REF!,"AAAAAH+/Wo0=")</f>
        <v>#REF!</v>
      </c>
      <c r="EM3" t="e">
        <f>AND(#REF!,"AAAAAH+/Wo4=")</f>
        <v>#REF!</v>
      </c>
      <c r="EN3" t="e">
        <f>AND(#REF!,"AAAAAH+/Wo8=")</f>
        <v>#REF!</v>
      </c>
      <c r="EO3" t="e">
        <f>AND(#REF!,"AAAAAH+/WpA=")</f>
        <v>#REF!</v>
      </c>
      <c r="EP3" t="e">
        <f>IF(#REF!,"AAAAAH+/WpE=",0)</f>
        <v>#REF!</v>
      </c>
      <c r="EQ3" t="e">
        <f>AND(#REF!,"AAAAAH+/WpI=")</f>
        <v>#REF!</v>
      </c>
      <c r="ER3" t="e">
        <f>AND(#REF!,"AAAAAH+/WpM=")</f>
        <v>#REF!</v>
      </c>
      <c r="ES3" t="e">
        <f>AND(#REF!,"AAAAAH+/WpQ=")</f>
        <v>#REF!</v>
      </c>
      <c r="ET3" t="e">
        <f>AND(#REF!,"AAAAAH+/WpU=")</f>
        <v>#REF!</v>
      </c>
      <c r="EU3" t="e">
        <f>AND(#REF!,"AAAAAH+/WpY=")</f>
        <v>#REF!</v>
      </c>
      <c r="EV3" t="e">
        <f>AND(#REF!,"AAAAAH+/Wpc=")</f>
        <v>#REF!</v>
      </c>
      <c r="EW3" t="e">
        <f>AND(#REF!,"AAAAAH+/Wpg=")</f>
        <v>#REF!</v>
      </c>
      <c r="EX3" t="e">
        <f>AND(#REF!,"AAAAAH+/Wpk=")</f>
        <v>#REF!</v>
      </c>
      <c r="EY3" t="e">
        <f>AND(#REF!,"AAAAAH+/Wpo=")</f>
        <v>#REF!</v>
      </c>
      <c r="EZ3" t="e">
        <f>AND(#REF!,"AAAAAH+/Wps=")</f>
        <v>#REF!</v>
      </c>
      <c r="FA3" t="e">
        <f>AND(#REF!,"AAAAAH+/Wpw=")</f>
        <v>#REF!</v>
      </c>
      <c r="FB3" t="e">
        <f>AND(#REF!,"AAAAAH+/Wp0=")</f>
        <v>#REF!</v>
      </c>
      <c r="FC3" t="e">
        <f>AND(#REF!,"AAAAAH+/Wp4=")</f>
        <v>#REF!</v>
      </c>
      <c r="FD3" t="e">
        <f>AND(#REF!,"AAAAAH+/Wp8=")</f>
        <v>#REF!</v>
      </c>
      <c r="FE3" t="e">
        <f>AND(#REF!,"AAAAAH+/WqA=")</f>
        <v>#REF!</v>
      </c>
      <c r="FF3" t="e">
        <f>AND(#REF!,"AAAAAH+/WqE=")</f>
        <v>#REF!</v>
      </c>
      <c r="FG3" t="e">
        <f>AND(#REF!,"AAAAAH+/WqI=")</f>
        <v>#REF!</v>
      </c>
      <c r="FH3" t="e">
        <f>AND(#REF!,"AAAAAH+/WqM=")</f>
        <v>#REF!</v>
      </c>
      <c r="FI3" t="e">
        <f>IF(#REF!,"AAAAAH+/WqQ=",0)</f>
        <v>#REF!</v>
      </c>
      <c r="FJ3" t="e">
        <f>AND(#REF!,"AAAAAH+/WqU=")</f>
        <v>#REF!</v>
      </c>
      <c r="FK3" t="e">
        <f>AND(#REF!,"AAAAAH+/WqY=")</f>
        <v>#REF!</v>
      </c>
      <c r="FL3" t="e">
        <f>AND(#REF!,"AAAAAH+/Wqc=")</f>
        <v>#REF!</v>
      </c>
      <c r="FM3" t="e">
        <f>AND(#REF!,"AAAAAH+/Wqg=")</f>
        <v>#REF!</v>
      </c>
      <c r="FN3" t="e">
        <f>AND(#REF!,"AAAAAH+/Wqk=")</f>
        <v>#REF!</v>
      </c>
      <c r="FO3" t="e">
        <f>AND(#REF!,"AAAAAH+/Wqo=")</f>
        <v>#REF!</v>
      </c>
      <c r="FP3" t="e">
        <f>AND(#REF!,"AAAAAH+/Wqs=")</f>
        <v>#REF!</v>
      </c>
      <c r="FQ3" t="e">
        <f>AND(#REF!,"AAAAAH+/Wqw=")</f>
        <v>#REF!</v>
      </c>
      <c r="FR3" t="e">
        <f>AND(#REF!,"AAAAAH+/Wq0=")</f>
        <v>#REF!</v>
      </c>
      <c r="FS3" t="e">
        <f>AND(#REF!,"AAAAAH+/Wq4=")</f>
        <v>#REF!</v>
      </c>
      <c r="FT3" t="e">
        <f>AND(#REF!,"AAAAAH+/Wq8=")</f>
        <v>#REF!</v>
      </c>
      <c r="FU3" t="e">
        <f>AND(#REF!,"AAAAAH+/WrA=")</f>
        <v>#REF!</v>
      </c>
      <c r="FV3" t="e">
        <f>AND(#REF!,"AAAAAH+/WrE=")</f>
        <v>#REF!</v>
      </c>
      <c r="FW3" t="e">
        <f>AND(#REF!,"AAAAAH+/WrI=")</f>
        <v>#REF!</v>
      </c>
      <c r="FX3" t="e">
        <f>AND(#REF!,"AAAAAH+/WrM=")</f>
        <v>#REF!</v>
      </c>
      <c r="FY3" t="e">
        <f>AND(#REF!,"AAAAAH+/WrQ=")</f>
        <v>#REF!</v>
      </c>
      <c r="FZ3" t="e">
        <f>AND(#REF!,"AAAAAH+/WrU=")</f>
        <v>#REF!</v>
      </c>
      <c r="GA3" t="e">
        <f>AND(#REF!,"AAAAAH+/WrY=")</f>
        <v>#REF!</v>
      </c>
      <c r="GB3" t="e">
        <f>IF(#REF!,"AAAAAH+/Wrc=",0)</f>
        <v>#REF!</v>
      </c>
      <c r="GC3" t="e">
        <f>AND(#REF!,"AAAAAH+/Wrg=")</f>
        <v>#REF!</v>
      </c>
      <c r="GD3" t="e">
        <f>AND(#REF!,"AAAAAH+/Wrk=")</f>
        <v>#REF!</v>
      </c>
      <c r="GE3" t="e">
        <f>AND(#REF!,"AAAAAH+/Wro=")</f>
        <v>#REF!</v>
      </c>
      <c r="GF3" t="e">
        <f>AND(#REF!,"AAAAAH+/Wrs=")</f>
        <v>#REF!</v>
      </c>
      <c r="GG3" t="e">
        <f>AND(#REF!,"AAAAAH+/Wrw=")</f>
        <v>#REF!</v>
      </c>
      <c r="GH3" t="e">
        <f>AND(#REF!,"AAAAAH+/Wr0=")</f>
        <v>#REF!</v>
      </c>
      <c r="GI3" t="e">
        <f>AND(#REF!,"AAAAAH+/Wr4=")</f>
        <v>#REF!</v>
      </c>
      <c r="GJ3" t="e">
        <f>AND(#REF!,"AAAAAH+/Wr8=")</f>
        <v>#REF!</v>
      </c>
      <c r="GK3" t="e">
        <f>AND(#REF!,"AAAAAH+/WsA=")</f>
        <v>#REF!</v>
      </c>
      <c r="GL3" t="e">
        <f>AND(#REF!,"AAAAAH+/WsE=")</f>
        <v>#REF!</v>
      </c>
      <c r="GM3" t="e">
        <f>AND(#REF!,"AAAAAH+/WsI=")</f>
        <v>#REF!</v>
      </c>
      <c r="GN3" t="e">
        <f>AND(#REF!,"AAAAAH+/WsM=")</f>
        <v>#REF!</v>
      </c>
      <c r="GO3" t="e">
        <f>AND(#REF!,"AAAAAH+/WsQ=")</f>
        <v>#REF!</v>
      </c>
      <c r="GP3" t="e">
        <f>AND(#REF!,"AAAAAH+/WsU=")</f>
        <v>#REF!</v>
      </c>
      <c r="GQ3" t="e">
        <f>AND(#REF!,"AAAAAH+/WsY=")</f>
        <v>#REF!</v>
      </c>
      <c r="GR3" t="e">
        <f>AND(#REF!,"AAAAAH+/Wsc=")</f>
        <v>#REF!</v>
      </c>
      <c r="GS3" t="e">
        <f>AND(#REF!,"AAAAAH+/Wsg=")</f>
        <v>#REF!</v>
      </c>
      <c r="GT3" t="e">
        <f>AND(#REF!,"AAAAAH+/Wsk=")</f>
        <v>#REF!</v>
      </c>
      <c r="GU3" t="e">
        <f>IF(#REF!,"AAAAAH+/Wso=",0)</f>
        <v>#REF!</v>
      </c>
      <c r="GV3" t="e">
        <f>AND(#REF!,"AAAAAH+/Wss=")</f>
        <v>#REF!</v>
      </c>
      <c r="GW3" t="e">
        <f>AND(#REF!,"AAAAAH+/Wsw=")</f>
        <v>#REF!</v>
      </c>
      <c r="GX3" t="e">
        <f>AND(#REF!,"AAAAAH+/Ws0=")</f>
        <v>#REF!</v>
      </c>
      <c r="GY3" t="e">
        <f>AND(#REF!,"AAAAAH+/Ws4=")</f>
        <v>#REF!</v>
      </c>
      <c r="GZ3" t="e">
        <f>AND(#REF!,"AAAAAH+/Ws8=")</f>
        <v>#REF!</v>
      </c>
      <c r="HA3" t="e">
        <f>AND(#REF!,"AAAAAH+/WtA=")</f>
        <v>#REF!</v>
      </c>
      <c r="HB3" t="e">
        <f>AND(#REF!,"AAAAAH+/WtE=")</f>
        <v>#REF!</v>
      </c>
      <c r="HC3" t="e">
        <f>AND(#REF!,"AAAAAH+/WtI=")</f>
        <v>#REF!</v>
      </c>
      <c r="HD3" t="e">
        <f>AND(#REF!,"AAAAAH+/WtM=")</f>
        <v>#REF!</v>
      </c>
      <c r="HE3" t="e">
        <f>AND(#REF!,"AAAAAH+/WtQ=")</f>
        <v>#REF!</v>
      </c>
      <c r="HF3" t="e">
        <f>AND(#REF!,"AAAAAH+/WtU=")</f>
        <v>#REF!</v>
      </c>
      <c r="HG3" t="e">
        <f>AND(#REF!,"AAAAAH+/WtY=")</f>
        <v>#REF!</v>
      </c>
      <c r="HH3" t="e">
        <f>AND(#REF!,"AAAAAH+/Wtc=")</f>
        <v>#REF!</v>
      </c>
      <c r="HI3" t="e">
        <f>AND(#REF!,"AAAAAH+/Wtg=")</f>
        <v>#REF!</v>
      </c>
      <c r="HJ3" t="e">
        <f>AND(#REF!,"AAAAAH+/Wtk=")</f>
        <v>#REF!</v>
      </c>
      <c r="HK3" t="e">
        <f>AND(#REF!,"AAAAAH+/Wto=")</f>
        <v>#REF!</v>
      </c>
      <c r="HL3" t="e">
        <f>AND(#REF!,"AAAAAH+/Wts=")</f>
        <v>#REF!</v>
      </c>
      <c r="HM3" t="e">
        <f>AND(#REF!,"AAAAAH+/Wtw=")</f>
        <v>#REF!</v>
      </c>
      <c r="HN3" t="e">
        <f>IF(#REF!,"AAAAAH+/Wt0=",0)</f>
        <v>#REF!</v>
      </c>
      <c r="HO3" t="e">
        <f>AND(#REF!,"AAAAAH+/Wt4=")</f>
        <v>#REF!</v>
      </c>
      <c r="HP3" t="e">
        <f>AND(#REF!,"AAAAAH+/Wt8=")</f>
        <v>#REF!</v>
      </c>
      <c r="HQ3" t="e">
        <f>AND(#REF!,"AAAAAH+/WuA=")</f>
        <v>#REF!</v>
      </c>
      <c r="HR3" t="e">
        <f>AND(#REF!,"AAAAAH+/WuE=")</f>
        <v>#REF!</v>
      </c>
      <c r="HS3" t="e">
        <f>AND(#REF!,"AAAAAH+/WuI=")</f>
        <v>#REF!</v>
      </c>
      <c r="HT3" t="e">
        <f>AND(#REF!,"AAAAAH+/WuM=")</f>
        <v>#REF!</v>
      </c>
      <c r="HU3" t="e">
        <f>AND(#REF!,"AAAAAH+/WuQ=")</f>
        <v>#REF!</v>
      </c>
      <c r="HV3" t="e">
        <f>AND(#REF!,"AAAAAH+/WuU=")</f>
        <v>#REF!</v>
      </c>
      <c r="HW3" t="e">
        <f>AND(#REF!,"AAAAAH+/WuY=")</f>
        <v>#REF!</v>
      </c>
      <c r="HX3" t="e">
        <f>AND(#REF!,"AAAAAH+/Wuc=")</f>
        <v>#REF!</v>
      </c>
      <c r="HY3" t="e">
        <f>AND(#REF!,"AAAAAH+/Wug=")</f>
        <v>#REF!</v>
      </c>
      <c r="HZ3" t="e">
        <f>AND(#REF!,"AAAAAH+/Wuk=")</f>
        <v>#REF!</v>
      </c>
      <c r="IA3" t="e">
        <f>AND(#REF!,"AAAAAH+/Wuo=")</f>
        <v>#REF!</v>
      </c>
      <c r="IB3" t="e">
        <f>AND(#REF!,"AAAAAH+/Wus=")</f>
        <v>#REF!</v>
      </c>
      <c r="IC3" t="e">
        <f>AND(#REF!,"AAAAAH+/Wuw=")</f>
        <v>#REF!</v>
      </c>
      <c r="ID3" t="e">
        <f>AND(#REF!,"AAAAAH+/Wu0=")</f>
        <v>#REF!</v>
      </c>
      <c r="IE3" t="e">
        <f>AND(#REF!,"AAAAAH+/Wu4=")</f>
        <v>#REF!</v>
      </c>
      <c r="IF3" t="e">
        <f>AND(#REF!,"AAAAAH+/Wu8=")</f>
        <v>#REF!</v>
      </c>
      <c r="IG3" t="e">
        <f>IF(#REF!,"AAAAAH+/WvA=",0)</f>
        <v>#REF!</v>
      </c>
      <c r="IH3" t="e">
        <f>AND(#REF!,"AAAAAH+/WvE=")</f>
        <v>#REF!</v>
      </c>
      <c r="II3" t="e">
        <f>AND(#REF!,"AAAAAH+/WvI=")</f>
        <v>#REF!</v>
      </c>
      <c r="IJ3" t="e">
        <f>AND(#REF!,"AAAAAH+/WvM=")</f>
        <v>#REF!</v>
      </c>
      <c r="IK3" t="e">
        <f>AND(#REF!,"AAAAAH+/WvQ=")</f>
        <v>#REF!</v>
      </c>
      <c r="IL3" t="e">
        <f>AND(#REF!,"AAAAAH+/WvU=")</f>
        <v>#REF!</v>
      </c>
      <c r="IM3" t="e">
        <f>AND(#REF!,"AAAAAH+/WvY=")</f>
        <v>#REF!</v>
      </c>
      <c r="IN3" t="e">
        <f>AND(#REF!,"AAAAAH+/Wvc=")</f>
        <v>#REF!</v>
      </c>
      <c r="IO3" t="e">
        <f>AND(#REF!,"AAAAAH+/Wvg=")</f>
        <v>#REF!</v>
      </c>
      <c r="IP3" t="e">
        <f>AND(#REF!,"AAAAAH+/Wvk=")</f>
        <v>#REF!</v>
      </c>
      <c r="IQ3" t="e">
        <f>AND(#REF!,"AAAAAH+/Wvo=")</f>
        <v>#REF!</v>
      </c>
      <c r="IR3" t="e">
        <f>AND(#REF!,"AAAAAH+/Wvs=")</f>
        <v>#REF!</v>
      </c>
      <c r="IS3" t="e">
        <f>AND(#REF!,"AAAAAH+/Wvw=")</f>
        <v>#REF!</v>
      </c>
      <c r="IT3" t="e">
        <f>AND(#REF!,"AAAAAH+/Wv0=")</f>
        <v>#REF!</v>
      </c>
      <c r="IU3" t="e">
        <f>AND(#REF!,"AAAAAH+/Wv4=")</f>
        <v>#REF!</v>
      </c>
      <c r="IV3" t="e">
        <f>AND(#REF!,"AAAAAH+/Wv8=")</f>
        <v>#REF!</v>
      </c>
    </row>
    <row r="4" spans="1:256">
      <c r="A4" t="e">
        <f>AND(#REF!,"AAAAAH7n/gA=")</f>
        <v>#REF!</v>
      </c>
      <c r="B4" t="e">
        <f>AND(#REF!,"AAAAAH7n/gE=")</f>
        <v>#REF!</v>
      </c>
      <c r="C4" t="e">
        <f>AND(#REF!,"AAAAAH7n/gI=")</f>
        <v>#REF!</v>
      </c>
      <c r="D4" t="e">
        <f>IF(#REF!,"AAAAAH7n/gM=",0)</f>
        <v>#REF!</v>
      </c>
      <c r="E4" t="e">
        <f>AND(#REF!,"AAAAAH7n/gQ=")</f>
        <v>#REF!</v>
      </c>
      <c r="F4" t="e">
        <f>AND(#REF!,"AAAAAH7n/gU=")</f>
        <v>#REF!</v>
      </c>
      <c r="G4" t="e">
        <f>AND(#REF!,"AAAAAH7n/gY=")</f>
        <v>#REF!</v>
      </c>
      <c r="H4" t="e">
        <f>AND(#REF!,"AAAAAH7n/gc=")</f>
        <v>#REF!</v>
      </c>
      <c r="I4" t="e">
        <f>AND(#REF!,"AAAAAH7n/gg=")</f>
        <v>#REF!</v>
      </c>
      <c r="J4" t="e">
        <f>AND(#REF!,"AAAAAH7n/gk=")</f>
        <v>#REF!</v>
      </c>
      <c r="K4" t="e">
        <f>AND(#REF!,"AAAAAH7n/go=")</f>
        <v>#REF!</v>
      </c>
      <c r="L4" t="e">
        <f>AND(#REF!,"AAAAAH7n/gs=")</f>
        <v>#REF!</v>
      </c>
      <c r="M4" t="e">
        <f>AND(#REF!,"AAAAAH7n/gw=")</f>
        <v>#REF!</v>
      </c>
      <c r="N4" t="e">
        <f>AND(#REF!,"AAAAAH7n/g0=")</f>
        <v>#REF!</v>
      </c>
      <c r="O4" t="e">
        <f>AND(#REF!,"AAAAAH7n/g4=")</f>
        <v>#REF!</v>
      </c>
      <c r="P4" t="e">
        <f>AND(#REF!,"AAAAAH7n/g8=")</f>
        <v>#REF!</v>
      </c>
      <c r="Q4" t="e">
        <f>AND(#REF!,"AAAAAH7n/hA=")</f>
        <v>#REF!</v>
      </c>
      <c r="R4" t="e">
        <f>AND(#REF!,"AAAAAH7n/hE=")</f>
        <v>#REF!</v>
      </c>
      <c r="S4" t="e">
        <f>AND(#REF!,"AAAAAH7n/hI=")</f>
        <v>#REF!</v>
      </c>
      <c r="T4" t="e">
        <f>AND(#REF!,"AAAAAH7n/hM=")</f>
        <v>#REF!</v>
      </c>
      <c r="U4" t="e">
        <f>AND(#REF!,"AAAAAH7n/hQ=")</f>
        <v>#REF!</v>
      </c>
      <c r="V4" t="e">
        <f>AND(#REF!,"AAAAAH7n/hU=")</f>
        <v>#REF!</v>
      </c>
      <c r="W4" t="e">
        <f>IF(#REF!,"AAAAAH7n/hY=",0)</f>
        <v>#REF!</v>
      </c>
      <c r="X4" t="e">
        <f>AND(#REF!,"AAAAAH7n/hc=")</f>
        <v>#REF!</v>
      </c>
      <c r="Y4" t="e">
        <f>AND(#REF!,"AAAAAH7n/hg=")</f>
        <v>#REF!</v>
      </c>
      <c r="Z4" t="e">
        <f>AND(#REF!,"AAAAAH7n/hk=")</f>
        <v>#REF!</v>
      </c>
      <c r="AA4" t="e">
        <f>AND(#REF!,"AAAAAH7n/ho=")</f>
        <v>#REF!</v>
      </c>
      <c r="AB4" t="e">
        <f>AND(#REF!,"AAAAAH7n/hs=")</f>
        <v>#REF!</v>
      </c>
      <c r="AC4" t="e">
        <f>AND(#REF!,"AAAAAH7n/hw=")</f>
        <v>#REF!</v>
      </c>
      <c r="AD4" t="e">
        <f>AND(#REF!,"AAAAAH7n/h0=")</f>
        <v>#REF!</v>
      </c>
      <c r="AE4" t="e">
        <f>AND(#REF!,"AAAAAH7n/h4=")</f>
        <v>#REF!</v>
      </c>
      <c r="AF4" t="e">
        <f>AND(#REF!,"AAAAAH7n/h8=")</f>
        <v>#REF!</v>
      </c>
      <c r="AG4" t="e">
        <f>AND(#REF!,"AAAAAH7n/iA=")</f>
        <v>#REF!</v>
      </c>
      <c r="AH4" t="e">
        <f>AND(#REF!,"AAAAAH7n/iE=")</f>
        <v>#REF!</v>
      </c>
      <c r="AI4" t="e">
        <f>AND(#REF!,"AAAAAH7n/iI=")</f>
        <v>#REF!</v>
      </c>
      <c r="AJ4" t="e">
        <f>AND(#REF!,"AAAAAH7n/iM=")</f>
        <v>#REF!</v>
      </c>
      <c r="AK4" t="e">
        <f>AND(#REF!,"AAAAAH7n/iQ=")</f>
        <v>#REF!</v>
      </c>
      <c r="AL4" t="e">
        <f>AND(#REF!,"AAAAAH7n/iU=")</f>
        <v>#REF!</v>
      </c>
      <c r="AM4" t="e">
        <f>AND(#REF!,"AAAAAH7n/iY=")</f>
        <v>#REF!</v>
      </c>
      <c r="AN4" t="e">
        <f>AND(#REF!,"AAAAAH7n/ic=")</f>
        <v>#REF!</v>
      </c>
      <c r="AO4" t="e">
        <f>AND(#REF!,"AAAAAH7n/ig=")</f>
        <v>#REF!</v>
      </c>
      <c r="AP4" t="e">
        <f>IF(#REF!,"AAAAAH7n/ik=",0)</f>
        <v>#REF!</v>
      </c>
      <c r="AQ4" t="e">
        <f>AND(#REF!,"AAAAAH7n/io=")</f>
        <v>#REF!</v>
      </c>
      <c r="AR4" t="e">
        <f>AND(#REF!,"AAAAAH7n/is=")</f>
        <v>#REF!</v>
      </c>
      <c r="AS4" t="e">
        <f>AND(#REF!,"AAAAAH7n/iw=")</f>
        <v>#REF!</v>
      </c>
      <c r="AT4" t="e">
        <f>AND(#REF!,"AAAAAH7n/i0=")</f>
        <v>#REF!</v>
      </c>
      <c r="AU4" t="e">
        <f>AND(#REF!,"AAAAAH7n/i4=")</f>
        <v>#REF!</v>
      </c>
      <c r="AV4" t="e">
        <f>AND(#REF!,"AAAAAH7n/i8=")</f>
        <v>#REF!</v>
      </c>
      <c r="AW4" t="e">
        <f>AND(#REF!,"AAAAAH7n/jA=")</f>
        <v>#REF!</v>
      </c>
      <c r="AX4" t="e">
        <f>AND(#REF!,"AAAAAH7n/jE=")</f>
        <v>#REF!</v>
      </c>
      <c r="AY4" t="e">
        <f>AND(#REF!,"AAAAAH7n/jI=")</f>
        <v>#REF!</v>
      </c>
      <c r="AZ4" t="e">
        <f>AND(#REF!,"AAAAAH7n/jM=")</f>
        <v>#REF!</v>
      </c>
      <c r="BA4" t="e">
        <f>AND(#REF!,"AAAAAH7n/jQ=")</f>
        <v>#REF!</v>
      </c>
      <c r="BB4" t="e">
        <f>AND(#REF!,"AAAAAH7n/jU=")</f>
        <v>#REF!</v>
      </c>
      <c r="BC4" t="e">
        <f>AND(#REF!,"AAAAAH7n/jY=")</f>
        <v>#REF!</v>
      </c>
      <c r="BD4" t="e">
        <f>AND(#REF!,"AAAAAH7n/jc=")</f>
        <v>#REF!</v>
      </c>
      <c r="BE4" t="e">
        <f>AND(#REF!,"AAAAAH7n/jg=")</f>
        <v>#REF!</v>
      </c>
      <c r="BF4" t="e">
        <f>AND(#REF!,"AAAAAH7n/jk=")</f>
        <v>#REF!</v>
      </c>
      <c r="BG4" t="e">
        <f>AND(#REF!,"AAAAAH7n/jo=")</f>
        <v>#REF!</v>
      </c>
      <c r="BH4" t="e">
        <f>AND(#REF!,"AAAAAH7n/js=")</f>
        <v>#REF!</v>
      </c>
      <c r="BI4" t="e">
        <f>IF(#REF!,"AAAAAH7n/jw=",0)</f>
        <v>#REF!</v>
      </c>
      <c r="BJ4" t="e">
        <f>AND(#REF!,"AAAAAH7n/j0=")</f>
        <v>#REF!</v>
      </c>
      <c r="BK4" t="e">
        <f>AND(#REF!,"AAAAAH7n/j4=")</f>
        <v>#REF!</v>
      </c>
      <c r="BL4" t="e">
        <f>AND(#REF!,"AAAAAH7n/j8=")</f>
        <v>#REF!</v>
      </c>
      <c r="BM4" t="e">
        <f>AND(#REF!,"AAAAAH7n/kA=")</f>
        <v>#REF!</v>
      </c>
      <c r="BN4" t="e">
        <f>AND(#REF!,"AAAAAH7n/kE=")</f>
        <v>#REF!</v>
      </c>
      <c r="BO4" t="e">
        <f>AND(#REF!,"AAAAAH7n/kI=")</f>
        <v>#REF!</v>
      </c>
      <c r="BP4" t="e">
        <f>AND(#REF!,"AAAAAH7n/kM=")</f>
        <v>#REF!</v>
      </c>
      <c r="BQ4" t="e">
        <f>AND(#REF!,"AAAAAH7n/kQ=")</f>
        <v>#REF!</v>
      </c>
      <c r="BR4" t="e">
        <f>AND(#REF!,"AAAAAH7n/kU=")</f>
        <v>#REF!</v>
      </c>
      <c r="BS4" t="e">
        <f>AND(#REF!,"AAAAAH7n/kY=")</f>
        <v>#REF!</v>
      </c>
      <c r="BT4" t="e">
        <f>AND(#REF!,"AAAAAH7n/kc=")</f>
        <v>#REF!</v>
      </c>
      <c r="BU4" t="e">
        <f>AND(#REF!,"AAAAAH7n/kg=")</f>
        <v>#REF!</v>
      </c>
      <c r="BV4" t="e">
        <f>AND(#REF!,"AAAAAH7n/kk=")</f>
        <v>#REF!</v>
      </c>
      <c r="BW4" t="e">
        <f>AND(#REF!,"AAAAAH7n/ko=")</f>
        <v>#REF!</v>
      </c>
      <c r="BX4" t="e">
        <f>AND(#REF!,"AAAAAH7n/ks=")</f>
        <v>#REF!</v>
      </c>
      <c r="BY4" t="e">
        <f>AND(#REF!,"AAAAAH7n/kw=")</f>
        <v>#REF!</v>
      </c>
      <c r="BZ4" t="e">
        <f>AND(#REF!,"AAAAAH7n/k0=")</f>
        <v>#REF!</v>
      </c>
      <c r="CA4" t="e">
        <f>AND(#REF!,"AAAAAH7n/k4=")</f>
        <v>#REF!</v>
      </c>
      <c r="CB4" t="e">
        <f>IF(#REF!,"AAAAAH7n/k8=",0)</f>
        <v>#REF!</v>
      </c>
      <c r="CC4" t="e">
        <f>AND(#REF!,"AAAAAH7n/lA=")</f>
        <v>#REF!</v>
      </c>
      <c r="CD4" t="e">
        <f>AND(#REF!,"AAAAAH7n/lE=")</f>
        <v>#REF!</v>
      </c>
      <c r="CE4" t="e">
        <f>AND(#REF!,"AAAAAH7n/lI=")</f>
        <v>#REF!</v>
      </c>
      <c r="CF4" t="e">
        <f>AND(#REF!,"AAAAAH7n/lM=")</f>
        <v>#REF!</v>
      </c>
      <c r="CG4" t="e">
        <f>AND(#REF!,"AAAAAH7n/lQ=")</f>
        <v>#REF!</v>
      </c>
      <c r="CH4" t="e">
        <f>AND(#REF!,"AAAAAH7n/lU=")</f>
        <v>#REF!</v>
      </c>
      <c r="CI4" t="e">
        <f>AND(#REF!,"AAAAAH7n/lY=")</f>
        <v>#REF!</v>
      </c>
      <c r="CJ4" t="e">
        <f>AND(#REF!,"AAAAAH7n/lc=")</f>
        <v>#REF!</v>
      </c>
      <c r="CK4" t="e">
        <f>AND(#REF!,"AAAAAH7n/lg=")</f>
        <v>#REF!</v>
      </c>
      <c r="CL4" t="e">
        <f>AND(#REF!,"AAAAAH7n/lk=")</f>
        <v>#REF!</v>
      </c>
      <c r="CM4" t="e">
        <f>AND(#REF!,"AAAAAH7n/lo=")</f>
        <v>#REF!</v>
      </c>
      <c r="CN4" t="e">
        <f>AND(#REF!,"AAAAAH7n/ls=")</f>
        <v>#REF!</v>
      </c>
      <c r="CO4" t="e">
        <f>AND(#REF!,"AAAAAH7n/lw=")</f>
        <v>#REF!</v>
      </c>
      <c r="CP4" t="e">
        <f>AND(#REF!,"AAAAAH7n/l0=")</f>
        <v>#REF!</v>
      </c>
      <c r="CQ4" t="e">
        <f>AND(#REF!,"AAAAAH7n/l4=")</f>
        <v>#REF!</v>
      </c>
      <c r="CR4" t="e">
        <f>AND(#REF!,"AAAAAH7n/l8=")</f>
        <v>#REF!</v>
      </c>
      <c r="CS4" t="e">
        <f>AND(#REF!,"AAAAAH7n/mA=")</f>
        <v>#REF!</v>
      </c>
      <c r="CT4" t="e">
        <f>AND(#REF!,"AAAAAH7n/mE=")</f>
        <v>#REF!</v>
      </c>
      <c r="CU4" t="e">
        <f>IF(#REF!,"AAAAAH7n/mI=",0)</f>
        <v>#REF!</v>
      </c>
      <c r="CV4" t="e">
        <f>AND(#REF!,"AAAAAH7n/mM=")</f>
        <v>#REF!</v>
      </c>
      <c r="CW4" t="e">
        <f>AND(#REF!,"AAAAAH7n/mQ=")</f>
        <v>#REF!</v>
      </c>
      <c r="CX4" t="e">
        <f>AND(#REF!,"AAAAAH7n/mU=")</f>
        <v>#REF!</v>
      </c>
      <c r="CY4" t="e">
        <f>AND(#REF!,"AAAAAH7n/mY=")</f>
        <v>#REF!</v>
      </c>
      <c r="CZ4" t="e">
        <f>AND(#REF!,"AAAAAH7n/mc=")</f>
        <v>#REF!</v>
      </c>
      <c r="DA4" t="e">
        <f>AND(#REF!,"AAAAAH7n/mg=")</f>
        <v>#REF!</v>
      </c>
      <c r="DB4" t="e">
        <f>AND(#REF!,"AAAAAH7n/mk=")</f>
        <v>#REF!</v>
      </c>
      <c r="DC4" t="e">
        <f>AND(#REF!,"AAAAAH7n/mo=")</f>
        <v>#REF!</v>
      </c>
      <c r="DD4" t="e">
        <f>AND(#REF!,"AAAAAH7n/ms=")</f>
        <v>#REF!</v>
      </c>
      <c r="DE4" t="e">
        <f>AND(#REF!,"AAAAAH7n/mw=")</f>
        <v>#REF!</v>
      </c>
      <c r="DF4" t="e">
        <f>AND(#REF!,"AAAAAH7n/m0=")</f>
        <v>#REF!</v>
      </c>
      <c r="DG4" t="e">
        <f>AND(#REF!,"AAAAAH7n/m4=")</f>
        <v>#REF!</v>
      </c>
      <c r="DH4" t="e">
        <f>AND(#REF!,"AAAAAH7n/m8=")</f>
        <v>#REF!</v>
      </c>
      <c r="DI4" t="e">
        <f>AND(#REF!,"AAAAAH7n/nA=")</f>
        <v>#REF!</v>
      </c>
      <c r="DJ4" t="e">
        <f>AND(#REF!,"AAAAAH7n/nE=")</f>
        <v>#REF!</v>
      </c>
      <c r="DK4" t="e">
        <f>AND(#REF!,"AAAAAH7n/nI=")</f>
        <v>#REF!</v>
      </c>
      <c r="DL4" t="e">
        <f>AND(#REF!,"AAAAAH7n/nM=")</f>
        <v>#REF!</v>
      </c>
      <c r="DM4" t="e">
        <f>AND(#REF!,"AAAAAH7n/nQ=")</f>
        <v>#REF!</v>
      </c>
      <c r="DN4" t="e">
        <f>IF(#REF!,"AAAAAH7n/nU=",0)</f>
        <v>#REF!</v>
      </c>
      <c r="DO4" t="e">
        <f>AND(#REF!,"AAAAAH7n/nY=")</f>
        <v>#REF!</v>
      </c>
      <c r="DP4" t="e">
        <f>AND(#REF!,"AAAAAH7n/nc=")</f>
        <v>#REF!</v>
      </c>
      <c r="DQ4" t="e">
        <f>AND(#REF!,"AAAAAH7n/ng=")</f>
        <v>#REF!</v>
      </c>
      <c r="DR4" t="e">
        <f>AND(#REF!,"AAAAAH7n/nk=")</f>
        <v>#REF!</v>
      </c>
      <c r="DS4" t="e">
        <f>AND(#REF!,"AAAAAH7n/no=")</f>
        <v>#REF!</v>
      </c>
      <c r="DT4" t="e">
        <f>AND(#REF!,"AAAAAH7n/ns=")</f>
        <v>#REF!</v>
      </c>
      <c r="DU4" t="e">
        <f>AND(#REF!,"AAAAAH7n/nw=")</f>
        <v>#REF!</v>
      </c>
      <c r="DV4" t="e">
        <f>AND(#REF!,"AAAAAH7n/n0=")</f>
        <v>#REF!</v>
      </c>
      <c r="DW4" t="e">
        <f>AND(#REF!,"AAAAAH7n/n4=")</f>
        <v>#REF!</v>
      </c>
      <c r="DX4" t="e">
        <f>AND(#REF!,"AAAAAH7n/n8=")</f>
        <v>#REF!</v>
      </c>
      <c r="DY4" t="e">
        <f>AND(#REF!,"AAAAAH7n/oA=")</f>
        <v>#REF!</v>
      </c>
      <c r="DZ4" t="e">
        <f>AND(#REF!,"AAAAAH7n/oE=")</f>
        <v>#REF!</v>
      </c>
      <c r="EA4" t="e">
        <f>AND(#REF!,"AAAAAH7n/oI=")</f>
        <v>#REF!</v>
      </c>
      <c r="EB4" t="e">
        <f>AND(#REF!,"AAAAAH7n/oM=")</f>
        <v>#REF!</v>
      </c>
      <c r="EC4" t="e">
        <f>AND(#REF!,"AAAAAH7n/oQ=")</f>
        <v>#REF!</v>
      </c>
      <c r="ED4" t="e">
        <f>AND(#REF!,"AAAAAH7n/oU=")</f>
        <v>#REF!</v>
      </c>
      <c r="EE4" t="e">
        <f>AND(#REF!,"AAAAAH7n/oY=")</f>
        <v>#REF!</v>
      </c>
      <c r="EF4" t="e">
        <f>AND(#REF!,"AAAAAH7n/oc=")</f>
        <v>#REF!</v>
      </c>
      <c r="EG4" t="e">
        <f>IF(#REF!,"AAAAAH7n/og=",0)</f>
        <v>#REF!</v>
      </c>
      <c r="EH4" t="e">
        <f>AND(#REF!,"AAAAAH7n/ok=")</f>
        <v>#REF!</v>
      </c>
      <c r="EI4" t="e">
        <f>AND(#REF!,"AAAAAH7n/oo=")</f>
        <v>#REF!</v>
      </c>
      <c r="EJ4" t="e">
        <f>AND(#REF!,"AAAAAH7n/os=")</f>
        <v>#REF!</v>
      </c>
      <c r="EK4" t="e">
        <f>AND(#REF!,"AAAAAH7n/ow=")</f>
        <v>#REF!</v>
      </c>
      <c r="EL4" t="e">
        <f>AND(#REF!,"AAAAAH7n/o0=")</f>
        <v>#REF!</v>
      </c>
      <c r="EM4" t="e">
        <f>AND(#REF!,"AAAAAH7n/o4=")</f>
        <v>#REF!</v>
      </c>
      <c r="EN4" t="e">
        <f>AND(#REF!,"AAAAAH7n/o8=")</f>
        <v>#REF!</v>
      </c>
      <c r="EO4" t="e">
        <f>AND(#REF!,"AAAAAH7n/pA=")</f>
        <v>#REF!</v>
      </c>
      <c r="EP4" t="e">
        <f>AND(#REF!,"AAAAAH7n/pE=")</f>
        <v>#REF!</v>
      </c>
      <c r="EQ4" t="e">
        <f>AND(#REF!,"AAAAAH7n/pI=")</f>
        <v>#REF!</v>
      </c>
      <c r="ER4" t="e">
        <f>AND(#REF!,"AAAAAH7n/pM=")</f>
        <v>#REF!</v>
      </c>
      <c r="ES4" t="e">
        <f>AND(#REF!,"AAAAAH7n/pQ=")</f>
        <v>#REF!</v>
      </c>
      <c r="ET4" t="e">
        <f>AND(#REF!,"AAAAAH7n/pU=")</f>
        <v>#REF!</v>
      </c>
      <c r="EU4" t="e">
        <f>AND(#REF!,"AAAAAH7n/pY=")</f>
        <v>#REF!</v>
      </c>
      <c r="EV4" t="e">
        <f>AND(#REF!,"AAAAAH7n/pc=")</f>
        <v>#REF!</v>
      </c>
      <c r="EW4" t="e">
        <f>AND(#REF!,"AAAAAH7n/pg=")</f>
        <v>#REF!</v>
      </c>
      <c r="EX4" t="e">
        <f>AND(#REF!,"AAAAAH7n/pk=")</f>
        <v>#REF!</v>
      </c>
      <c r="EY4" t="e">
        <f>AND(#REF!,"AAAAAH7n/po=")</f>
        <v>#REF!</v>
      </c>
      <c r="EZ4" t="e">
        <f>IF(#REF!,"AAAAAH7n/ps=",0)</f>
        <v>#REF!</v>
      </c>
      <c r="FA4" t="e">
        <f>AND(#REF!,"AAAAAH7n/pw=")</f>
        <v>#REF!</v>
      </c>
      <c r="FB4" t="e">
        <f>AND(#REF!,"AAAAAH7n/p0=")</f>
        <v>#REF!</v>
      </c>
      <c r="FC4" t="e">
        <f>AND(#REF!,"AAAAAH7n/p4=")</f>
        <v>#REF!</v>
      </c>
      <c r="FD4" t="e">
        <f>AND(#REF!,"AAAAAH7n/p8=")</f>
        <v>#REF!</v>
      </c>
      <c r="FE4" t="e">
        <f>AND(#REF!,"AAAAAH7n/qA=")</f>
        <v>#REF!</v>
      </c>
      <c r="FF4" t="e">
        <f>AND(#REF!,"AAAAAH7n/qE=")</f>
        <v>#REF!</v>
      </c>
      <c r="FG4" t="e">
        <f>AND(#REF!,"AAAAAH7n/qI=")</f>
        <v>#REF!</v>
      </c>
      <c r="FH4" t="e">
        <f>AND(#REF!,"AAAAAH7n/qM=")</f>
        <v>#REF!</v>
      </c>
      <c r="FI4" t="e">
        <f>AND(#REF!,"AAAAAH7n/qQ=")</f>
        <v>#REF!</v>
      </c>
      <c r="FJ4" t="e">
        <f>AND(#REF!,"AAAAAH7n/qU=")</f>
        <v>#REF!</v>
      </c>
      <c r="FK4" t="e">
        <f>AND(#REF!,"AAAAAH7n/qY=")</f>
        <v>#REF!</v>
      </c>
      <c r="FL4" t="e">
        <f>AND(#REF!,"AAAAAH7n/qc=")</f>
        <v>#REF!</v>
      </c>
      <c r="FM4" t="e">
        <f>AND(#REF!,"AAAAAH7n/qg=")</f>
        <v>#REF!</v>
      </c>
      <c r="FN4" t="e">
        <f>AND(#REF!,"AAAAAH7n/qk=")</f>
        <v>#REF!</v>
      </c>
      <c r="FO4" t="e">
        <f>AND(#REF!,"AAAAAH7n/qo=")</f>
        <v>#REF!</v>
      </c>
      <c r="FP4" t="e">
        <f>AND(#REF!,"AAAAAH7n/qs=")</f>
        <v>#REF!</v>
      </c>
      <c r="FQ4" t="e">
        <f>AND(#REF!,"AAAAAH7n/qw=")</f>
        <v>#REF!</v>
      </c>
      <c r="FR4" t="e">
        <f>AND(#REF!,"AAAAAH7n/q0=")</f>
        <v>#REF!</v>
      </c>
      <c r="FS4" t="e">
        <f>IF(#REF!,"AAAAAH7n/q4=",0)</f>
        <v>#REF!</v>
      </c>
      <c r="FT4" t="e">
        <f>AND(#REF!,"AAAAAH7n/q8=")</f>
        <v>#REF!</v>
      </c>
      <c r="FU4" t="e">
        <f>AND(#REF!,"AAAAAH7n/rA=")</f>
        <v>#REF!</v>
      </c>
      <c r="FV4" t="e">
        <f>AND(#REF!,"AAAAAH7n/rE=")</f>
        <v>#REF!</v>
      </c>
      <c r="FW4" t="e">
        <f>AND(#REF!,"AAAAAH7n/rI=")</f>
        <v>#REF!</v>
      </c>
      <c r="FX4" t="e">
        <f>AND(#REF!,"AAAAAH7n/rM=")</f>
        <v>#REF!</v>
      </c>
      <c r="FY4" t="e">
        <f>AND(#REF!,"AAAAAH7n/rQ=")</f>
        <v>#REF!</v>
      </c>
      <c r="FZ4" t="e">
        <f>AND(#REF!,"AAAAAH7n/rU=")</f>
        <v>#REF!</v>
      </c>
      <c r="GA4" t="e">
        <f>AND(#REF!,"AAAAAH7n/rY=")</f>
        <v>#REF!</v>
      </c>
      <c r="GB4" t="e">
        <f>AND(#REF!,"AAAAAH7n/rc=")</f>
        <v>#REF!</v>
      </c>
      <c r="GC4" t="e">
        <f>AND(#REF!,"AAAAAH7n/rg=")</f>
        <v>#REF!</v>
      </c>
      <c r="GD4" t="e">
        <f>AND(#REF!,"AAAAAH7n/rk=")</f>
        <v>#REF!</v>
      </c>
      <c r="GE4" t="e">
        <f>AND(#REF!,"AAAAAH7n/ro=")</f>
        <v>#REF!</v>
      </c>
      <c r="GF4" t="e">
        <f>AND(#REF!,"AAAAAH7n/rs=")</f>
        <v>#REF!</v>
      </c>
      <c r="GG4" t="e">
        <f>AND(#REF!,"AAAAAH7n/rw=")</f>
        <v>#REF!</v>
      </c>
      <c r="GH4" t="e">
        <f>AND(#REF!,"AAAAAH7n/r0=")</f>
        <v>#REF!</v>
      </c>
      <c r="GI4" t="e">
        <f>AND(#REF!,"AAAAAH7n/r4=")</f>
        <v>#REF!</v>
      </c>
      <c r="GJ4" t="e">
        <f>AND(#REF!,"AAAAAH7n/r8=")</f>
        <v>#REF!</v>
      </c>
      <c r="GK4" t="e">
        <f>AND(#REF!,"AAAAAH7n/sA=")</f>
        <v>#REF!</v>
      </c>
      <c r="GL4" t="e">
        <f>IF(#REF!,"AAAAAH7n/sE=",0)</f>
        <v>#REF!</v>
      </c>
      <c r="GM4" t="e">
        <f>AND(#REF!,"AAAAAH7n/sI=")</f>
        <v>#REF!</v>
      </c>
      <c r="GN4" t="e">
        <f>AND(#REF!,"AAAAAH7n/sM=")</f>
        <v>#REF!</v>
      </c>
      <c r="GO4" t="e">
        <f>AND(#REF!,"AAAAAH7n/sQ=")</f>
        <v>#REF!</v>
      </c>
      <c r="GP4" t="e">
        <f>AND(#REF!,"AAAAAH7n/sU=")</f>
        <v>#REF!</v>
      </c>
      <c r="GQ4" t="e">
        <f>AND(#REF!,"AAAAAH7n/sY=")</f>
        <v>#REF!</v>
      </c>
      <c r="GR4" t="e">
        <f>AND(#REF!,"AAAAAH7n/sc=")</f>
        <v>#REF!</v>
      </c>
      <c r="GS4" t="e">
        <f>AND(#REF!,"AAAAAH7n/sg=")</f>
        <v>#REF!</v>
      </c>
      <c r="GT4" t="e">
        <f>AND(#REF!,"AAAAAH7n/sk=")</f>
        <v>#REF!</v>
      </c>
      <c r="GU4" t="e">
        <f>AND(#REF!,"AAAAAH7n/so=")</f>
        <v>#REF!</v>
      </c>
      <c r="GV4" t="e">
        <f>AND(#REF!,"AAAAAH7n/ss=")</f>
        <v>#REF!</v>
      </c>
      <c r="GW4" t="e">
        <f>AND(#REF!,"AAAAAH7n/sw=")</f>
        <v>#REF!</v>
      </c>
      <c r="GX4" t="e">
        <f>AND(#REF!,"AAAAAH7n/s0=")</f>
        <v>#REF!</v>
      </c>
      <c r="GY4" t="e">
        <f>AND(#REF!,"AAAAAH7n/s4=")</f>
        <v>#REF!</v>
      </c>
      <c r="GZ4" t="e">
        <f>AND(#REF!,"AAAAAH7n/s8=")</f>
        <v>#REF!</v>
      </c>
      <c r="HA4" t="e">
        <f>AND(#REF!,"AAAAAH7n/tA=")</f>
        <v>#REF!</v>
      </c>
      <c r="HB4" t="e">
        <f>AND(#REF!,"AAAAAH7n/tE=")</f>
        <v>#REF!</v>
      </c>
      <c r="HC4" t="e">
        <f>AND(#REF!,"AAAAAH7n/tI=")</f>
        <v>#REF!</v>
      </c>
      <c r="HD4" t="e">
        <f>AND(#REF!,"AAAAAH7n/tM=")</f>
        <v>#REF!</v>
      </c>
      <c r="HE4" t="e">
        <f>IF(#REF!,"AAAAAH7n/tQ=",0)</f>
        <v>#REF!</v>
      </c>
      <c r="HF4" t="e">
        <f>AND(#REF!,"AAAAAH7n/tU=")</f>
        <v>#REF!</v>
      </c>
      <c r="HG4" t="e">
        <f>AND(#REF!,"AAAAAH7n/tY=")</f>
        <v>#REF!</v>
      </c>
      <c r="HH4" t="e">
        <f>AND(#REF!,"AAAAAH7n/tc=")</f>
        <v>#REF!</v>
      </c>
      <c r="HI4" t="e">
        <f>AND(#REF!,"AAAAAH7n/tg=")</f>
        <v>#REF!</v>
      </c>
      <c r="HJ4" t="e">
        <f>AND(#REF!,"AAAAAH7n/tk=")</f>
        <v>#REF!</v>
      </c>
      <c r="HK4" t="e">
        <f>AND(#REF!,"AAAAAH7n/to=")</f>
        <v>#REF!</v>
      </c>
      <c r="HL4" t="e">
        <f>AND(#REF!,"AAAAAH7n/ts=")</f>
        <v>#REF!</v>
      </c>
      <c r="HM4" t="e">
        <f>AND(#REF!,"AAAAAH7n/tw=")</f>
        <v>#REF!</v>
      </c>
      <c r="HN4" t="e">
        <f>AND(#REF!,"AAAAAH7n/t0=")</f>
        <v>#REF!</v>
      </c>
      <c r="HO4" t="e">
        <f>AND(#REF!,"AAAAAH7n/t4=")</f>
        <v>#REF!</v>
      </c>
      <c r="HP4" t="e">
        <f>AND(#REF!,"AAAAAH7n/t8=")</f>
        <v>#REF!</v>
      </c>
      <c r="HQ4" t="e">
        <f>AND(#REF!,"AAAAAH7n/uA=")</f>
        <v>#REF!</v>
      </c>
      <c r="HR4" t="e">
        <f>AND(#REF!,"AAAAAH7n/uE=")</f>
        <v>#REF!</v>
      </c>
      <c r="HS4" t="e">
        <f>AND(#REF!,"AAAAAH7n/uI=")</f>
        <v>#REF!</v>
      </c>
      <c r="HT4" t="e">
        <f>AND(#REF!,"AAAAAH7n/uM=")</f>
        <v>#REF!</v>
      </c>
      <c r="HU4" t="e">
        <f>AND(#REF!,"AAAAAH7n/uQ=")</f>
        <v>#REF!</v>
      </c>
      <c r="HV4" t="e">
        <f>AND(#REF!,"AAAAAH7n/uU=")</f>
        <v>#REF!</v>
      </c>
      <c r="HW4" t="e">
        <f>AND(#REF!,"AAAAAH7n/uY=")</f>
        <v>#REF!</v>
      </c>
      <c r="HX4" t="e">
        <f>IF(#REF!,"AAAAAH7n/uc=",0)</f>
        <v>#REF!</v>
      </c>
      <c r="HY4" t="e">
        <f>AND(#REF!,"AAAAAH7n/ug=")</f>
        <v>#REF!</v>
      </c>
      <c r="HZ4" t="e">
        <f>AND(#REF!,"AAAAAH7n/uk=")</f>
        <v>#REF!</v>
      </c>
      <c r="IA4" t="e">
        <f>AND(#REF!,"AAAAAH7n/uo=")</f>
        <v>#REF!</v>
      </c>
      <c r="IB4" t="e">
        <f>AND(#REF!,"AAAAAH7n/us=")</f>
        <v>#REF!</v>
      </c>
      <c r="IC4" t="e">
        <f>AND(#REF!,"AAAAAH7n/uw=")</f>
        <v>#REF!</v>
      </c>
      <c r="ID4" t="e">
        <f>AND(#REF!,"AAAAAH7n/u0=")</f>
        <v>#REF!</v>
      </c>
      <c r="IE4" t="e">
        <f>AND(#REF!,"AAAAAH7n/u4=")</f>
        <v>#REF!</v>
      </c>
      <c r="IF4" t="e">
        <f>AND(#REF!,"AAAAAH7n/u8=")</f>
        <v>#REF!</v>
      </c>
      <c r="IG4" t="e">
        <f>AND(#REF!,"AAAAAH7n/vA=")</f>
        <v>#REF!</v>
      </c>
      <c r="IH4" t="e">
        <f>AND(#REF!,"AAAAAH7n/vE=")</f>
        <v>#REF!</v>
      </c>
      <c r="II4" t="e">
        <f>AND(#REF!,"AAAAAH7n/vI=")</f>
        <v>#REF!</v>
      </c>
      <c r="IJ4" t="e">
        <f>AND(#REF!,"AAAAAH7n/vM=")</f>
        <v>#REF!</v>
      </c>
      <c r="IK4" t="e">
        <f>AND(#REF!,"AAAAAH7n/vQ=")</f>
        <v>#REF!</v>
      </c>
      <c r="IL4" t="e">
        <f>AND(#REF!,"AAAAAH7n/vU=")</f>
        <v>#REF!</v>
      </c>
      <c r="IM4" t="e">
        <f>AND(#REF!,"AAAAAH7n/vY=")</f>
        <v>#REF!</v>
      </c>
      <c r="IN4" t="e">
        <f>AND(#REF!,"AAAAAH7n/vc=")</f>
        <v>#REF!</v>
      </c>
      <c r="IO4" t="e">
        <f>AND(#REF!,"AAAAAH7n/vg=")</f>
        <v>#REF!</v>
      </c>
      <c r="IP4" t="e">
        <f>AND(#REF!,"AAAAAH7n/vk=")</f>
        <v>#REF!</v>
      </c>
      <c r="IQ4" t="e">
        <f>IF(#REF!,"AAAAAH7n/vo=",0)</f>
        <v>#REF!</v>
      </c>
      <c r="IR4" t="e">
        <f>AND(#REF!,"AAAAAH7n/vs=")</f>
        <v>#REF!</v>
      </c>
      <c r="IS4" t="e">
        <f>AND(#REF!,"AAAAAH7n/vw=")</f>
        <v>#REF!</v>
      </c>
      <c r="IT4" t="e">
        <f>AND(#REF!,"AAAAAH7n/v0=")</f>
        <v>#REF!</v>
      </c>
      <c r="IU4" t="e">
        <f>AND(#REF!,"AAAAAH7n/v4=")</f>
        <v>#REF!</v>
      </c>
      <c r="IV4" t="e">
        <f>AND(#REF!,"AAAAAH7n/v8=")</f>
        <v>#REF!</v>
      </c>
    </row>
    <row r="5" spans="1:256">
      <c r="A5" t="e">
        <f>AND(#REF!,"AAAAAE//cgA=")</f>
        <v>#REF!</v>
      </c>
      <c r="B5" t="e">
        <f>AND(#REF!,"AAAAAE//cgE=")</f>
        <v>#REF!</v>
      </c>
      <c r="C5" t="e">
        <f>AND(#REF!,"AAAAAE//cgI=")</f>
        <v>#REF!</v>
      </c>
      <c r="D5" t="e">
        <f>AND(#REF!,"AAAAAE//cgM=")</f>
        <v>#REF!</v>
      </c>
      <c r="E5" t="e">
        <f>AND(#REF!,"AAAAAE//cgQ=")</f>
        <v>#REF!</v>
      </c>
      <c r="F5" t="e">
        <f>AND(#REF!,"AAAAAE//cgU=")</f>
        <v>#REF!</v>
      </c>
      <c r="G5" t="e">
        <f>AND(#REF!,"AAAAAE//cgY=")</f>
        <v>#REF!</v>
      </c>
      <c r="H5" t="e">
        <f>AND(#REF!,"AAAAAE//cgc=")</f>
        <v>#REF!</v>
      </c>
      <c r="I5" t="e">
        <f>AND(#REF!,"AAAAAE//cgg=")</f>
        <v>#REF!</v>
      </c>
      <c r="J5" t="e">
        <f>AND(#REF!,"AAAAAE//cgk=")</f>
        <v>#REF!</v>
      </c>
      <c r="K5" t="e">
        <f>AND(#REF!,"AAAAAE//cgo=")</f>
        <v>#REF!</v>
      </c>
      <c r="L5" t="e">
        <f>AND(#REF!,"AAAAAE//cgs=")</f>
        <v>#REF!</v>
      </c>
      <c r="M5" t="e">
        <f>AND(#REF!,"AAAAAE//cgw=")</f>
        <v>#REF!</v>
      </c>
      <c r="N5" t="e">
        <f>IF(#REF!,"AAAAAE//cg0=",0)</f>
        <v>#REF!</v>
      </c>
      <c r="O5" t="e">
        <f>AND(#REF!,"AAAAAE//cg4=")</f>
        <v>#REF!</v>
      </c>
      <c r="P5" t="e">
        <f>AND(#REF!,"AAAAAE//cg8=")</f>
        <v>#REF!</v>
      </c>
      <c r="Q5" t="e">
        <f>AND(#REF!,"AAAAAE//chA=")</f>
        <v>#REF!</v>
      </c>
      <c r="R5" t="e">
        <f>AND(#REF!,"AAAAAE//chE=")</f>
        <v>#REF!</v>
      </c>
      <c r="S5" t="e">
        <f>AND(#REF!,"AAAAAE//chI=")</f>
        <v>#REF!</v>
      </c>
      <c r="T5" t="e">
        <f>AND(#REF!,"AAAAAE//chM=")</f>
        <v>#REF!</v>
      </c>
      <c r="U5" t="e">
        <f>AND(#REF!,"AAAAAE//chQ=")</f>
        <v>#REF!</v>
      </c>
      <c r="V5" t="e">
        <f>AND(#REF!,"AAAAAE//chU=")</f>
        <v>#REF!</v>
      </c>
      <c r="W5" t="e">
        <f>AND(#REF!,"AAAAAE//chY=")</f>
        <v>#REF!</v>
      </c>
      <c r="X5" t="e">
        <f>AND(#REF!,"AAAAAE//chc=")</f>
        <v>#REF!</v>
      </c>
      <c r="Y5" t="e">
        <f>AND(#REF!,"AAAAAE//chg=")</f>
        <v>#REF!</v>
      </c>
      <c r="Z5" t="e">
        <f>AND(#REF!,"AAAAAE//chk=")</f>
        <v>#REF!</v>
      </c>
      <c r="AA5" t="e">
        <f>AND(#REF!,"AAAAAE//cho=")</f>
        <v>#REF!</v>
      </c>
      <c r="AB5" t="e">
        <f>AND(#REF!,"AAAAAE//chs=")</f>
        <v>#REF!</v>
      </c>
      <c r="AC5" t="e">
        <f>AND(#REF!,"AAAAAE//chw=")</f>
        <v>#REF!</v>
      </c>
      <c r="AD5" t="e">
        <f>AND(#REF!,"AAAAAE//ch0=")</f>
        <v>#REF!</v>
      </c>
      <c r="AE5" t="e">
        <f>AND(#REF!,"AAAAAE//ch4=")</f>
        <v>#REF!</v>
      </c>
      <c r="AF5" t="e">
        <f>AND(#REF!,"AAAAAE//ch8=")</f>
        <v>#REF!</v>
      </c>
      <c r="AG5" t="e">
        <f>IF(#REF!,"AAAAAE//ciA=",0)</f>
        <v>#REF!</v>
      </c>
      <c r="AH5" t="e">
        <f>AND(#REF!,"AAAAAE//ciE=")</f>
        <v>#REF!</v>
      </c>
      <c r="AI5" t="e">
        <f>AND(#REF!,"AAAAAE//ciI=")</f>
        <v>#REF!</v>
      </c>
      <c r="AJ5" t="e">
        <f>AND(#REF!,"AAAAAE//ciM=")</f>
        <v>#REF!</v>
      </c>
      <c r="AK5" t="e">
        <f>AND(#REF!,"AAAAAE//ciQ=")</f>
        <v>#REF!</v>
      </c>
      <c r="AL5" t="e">
        <f>AND(#REF!,"AAAAAE//ciU=")</f>
        <v>#REF!</v>
      </c>
      <c r="AM5" t="e">
        <f>AND(#REF!,"AAAAAE//ciY=")</f>
        <v>#REF!</v>
      </c>
      <c r="AN5" t="e">
        <f>AND(#REF!,"AAAAAE//cic=")</f>
        <v>#REF!</v>
      </c>
      <c r="AO5" t="e">
        <f>AND(#REF!,"AAAAAE//cig=")</f>
        <v>#REF!</v>
      </c>
      <c r="AP5" t="e">
        <f>AND(#REF!,"AAAAAE//cik=")</f>
        <v>#REF!</v>
      </c>
      <c r="AQ5" t="e">
        <f>AND(#REF!,"AAAAAE//cio=")</f>
        <v>#REF!</v>
      </c>
      <c r="AR5" t="e">
        <f>AND(#REF!,"AAAAAE//cis=")</f>
        <v>#REF!</v>
      </c>
      <c r="AS5" t="e">
        <f>AND(#REF!,"AAAAAE//ciw=")</f>
        <v>#REF!</v>
      </c>
      <c r="AT5" t="e">
        <f>AND(#REF!,"AAAAAE//ci0=")</f>
        <v>#REF!</v>
      </c>
      <c r="AU5" t="e">
        <f>AND(#REF!,"AAAAAE//ci4=")</f>
        <v>#REF!</v>
      </c>
      <c r="AV5" t="e">
        <f>AND(#REF!,"AAAAAE//ci8=")</f>
        <v>#REF!</v>
      </c>
      <c r="AW5" t="e">
        <f>AND(#REF!,"AAAAAE//cjA=")</f>
        <v>#REF!</v>
      </c>
      <c r="AX5" t="e">
        <f>AND(#REF!,"AAAAAE//cjE=")</f>
        <v>#REF!</v>
      </c>
      <c r="AY5" t="e">
        <f>AND(#REF!,"AAAAAE//cjI=")</f>
        <v>#REF!</v>
      </c>
      <c r="AZ5" t="e">
        <f>IF(#REF!,"AAAAAE//cjM=",0)</f>
        <v>#REF!</v>
      </c>
      <c r="BA5" t="e">
        <f>AND(#REF!,"AAAAAE//cjQ=")</f>
        <v>#REF!</v>
      </c>
      <c r="BB5" t="e">
        <f>AND(#REF!,"AAAAAE//cjU=")</f>
        <v>#REF!</v>
      </c>
      <c r="BC5" t="e">
        <f>AND(#REF!,"AAAAAE//cjY=")</f>
        <v>#REF!</v>
      </c>
      <c r="BD5" t="e">
        <f>AND(#REF!,"AAAAAE//cjc=")</f>
        <v>#REF!</v>
      </c>
      <c r="BE5" t="e">
        <f>AND(#REF!,"AAAAAE//cjg=")</f>
        <v>#REF!</v>
      </c>
      <c r="BF5" t="e">
        <f>AND(#REF!,"AAAAAE//cjk=")</f>
        <v>#REF!</v>
      </c>
      <c r="BG5" t="e">
        <f>AND(#REF!,"AAAAAE//cjo=")</f>
        <v>#REF!</v>
      </c>
      <c r="BH5" t="e">
        <f>AND(#REF!,"AAAAAE//cjs=")</f>
        <v>#REF!</v>
      </c>
      <c r="BI5" t="e">
        <f>AND(#REF!,"AAAAAE//cjw=")</f>
        <v>#REF!</v>
      </c>
      <c r="BJ5" t="e">
        <f>AND(#REF!,"AAAAAE//cj0=")</f>
        <v>#REF!</v>
      </c>
      <c r="BK5" t="e">
        <f>AND(#REF!,"AAAAAE//cj4=")</f>
        <v>#REF!</v>
      </c>
      <c r="BL5" t="e">
        <f>AND(#REF!,"AAAAAE//cj8=")</f>
        <v>#REF!</v>
      </c>
      <c r="BM5" t="e">
        <f>AND(#REF!,"AAAAAE//ckA=")</f>
        <v>#REF!</v>
      </c>
      <c r="BN5" t="e">
        <f>AND(#REF!,"AAAAAE//ckE=")</f>
        <v>#REF!</v>
      </c>
      <c r="BO5" t="e">
        <f>AND(#REF!,"AAAAAE//ckI=")</f>
        <v>#REF!</v>
      </c>
      <c r="BP5" t="e">
        <f>AND(#REF!,"AAAAAE//ckM=")</f>
        <v>#REF!</v>
      </c>
      <c r="BQ5" t="e">
        <f>AND(#REF!,"AAAAAE//ckQ=")</f>
        <v>#REF!</v>
      </c>
      <c r="BR5" t="e">
        <f>AND(#REF!,"AAAAAE//ckU=")</f>
        <v>#REF!</v>
      </c>
      <c r="BS5" t="e">
        <f>IF(#REF!,"AAAAAE//ckY=",0)</f>
        <v>#REF!</v>
      </c>
      <c r="BT5" t="e">
        <f>AND(#REF!,"AAAAAE//ckc=")</f>
        <v>#REF!</v>
      </c>
      <c r="BU5" t="e">
        <f>AND(#REF!,"AAAAAE//ckg=")</f>
        <v>#REF!</v>
      </c>
      <c r="BV5" t="e">
        <f>AND(#REF!,"AAAAAE//ckk=")</f>
        <v>#REF!</v>
      </c>
      <c r="BW5" t="e">
        <f>AND(#REF!,"AAAAAE//cko=")</f>
        <v>#REF!</v>
      </c>
      <c r="BX5" t="e">
        <f>AND(#REF!,"AAAAAE//cks=")</f>
        <v>#REF!</v>
      </c>
      <c r="BY5" t="e">
        <f>AND(#REF!,"AAAAAE//ckw=")</f>
        <v>#REF!</v>
      </c>
      <c r="BZ5" t="e">
        <f>AND(#REF!,"AAAAAE//ck0=")</f>
        <v>#REF!</v>
      </c>
      <c r="CA5" t="e">
        <f>AND(#REF!,"AAAAAE//ck4=")</f>
        <v>#REF!</v>
      </c>
      <c r="CB5" t="e">
        <f>AND(#REF!,"AAAAAE//ck8=")</f>
        <v>#REF!</v>
      </c>
      <c r="CC5" t="e">
        <f>AND(#REF!,"AAAAAE//clA=")</f>
        <v>#REF!</v>
      </c>
      <c r="CD5" t="e">
        <f>AND(#REF!,"AAAAAE//clE=")</f>
        <v>#REF!</v>
      </c>
      <c r="CE5" t="e">
        <f>AND(#REF!,"AAAAAE//clI=")</f>
        <v>#REF!</v>
      </c>
      <c r="CF5" t="e">
        <f>AND(#REF!,"AAAAAE//clM=")</f>
        <v>#REF!</v>
      </c>
      <c r="CG5" t="e">
        <f>AND(#REF!,"AAAAAE//clQ=")</f>
        <v>#REF!</v>
      </c>
      <c r="CH5" t="e">
        <f>AND(#REF!,"AAAAAE//clU=")</f>
        <v>#REF!</v>
      </c>
      <c r="CI5" t="e">
        <f>AND(#REF!,"AAAAAE//clY=")</f>
        <v>#REF!</v>
      </c>
      <c r="CJ5" t="e">
        <f>AND(#REF!,"AAAAAE//clc=")</f>
        <v>#REF!</v>
      </c>
      <c r="CK5" t="e">
        <f>AND(#REF!,"AAAAAE//clg=")</f>
        <v>#REF!</v>
      </c>
      <c r="CL5" t="e">
        <f>IF(#REF!,"AAAAAE//clk=",0)</f>
        <v>#REF!</v>
      </c>
      <c r="CM5" t="e">
        <f>AND(#REF!,"AAAAAE//clo=")</f>
        <v>#REF!</v>
      </c>
      <c r="CN5" t="e">
        <f>AND(#REF!,"AAAAAE//cls=")</f>
        <v>#REF!</v>
      </c>
      <c r="CO5" t="e">
        <f>AND(#REF!,"AAAAAE//clw=")</f>
        <v>#REF!</v>
      </c>
      <c r="CP5" t="e">
        <f>AND(#REF!,"AAAAAE//cl0=")</f>
        <v>#REF!</v>
      </c>
      <c r="CQ5" t="e">
        <f>AND(#REF!,"AAAAAE//cl4=")</f>
        <v>#REF!</v>
      </c>
      <c r="CR5" t="e">
        <f>AND(#REF!,"AAAAAE//cl8=")</f>
        <v>#REF!</v>
      </c>
      <c r="CS5" t="e">
        <f>AND(#REF!,"AAAAAE//cmA=")</f>
        <v>#REF!</v>
      </c>
      <c r="CT5" t="e">
        <f>AND(#REF!,"AAAAAE//cmE=")</f>
        <v>#REF!</v>
      </c>
      <c r="CU5" t="e">
        <f>AND(#REF!,"AAAAAE//cmI=")</f>
        <v>#REF!</v>
      </c>
      <c r="CV5" t="e">
        <f>AND(#REF!,"AAAAAE//cmM=")</f>
        <v>#REF!</v>
      </c>
      <c r="CW5" t="e">
        <f>AND(#REF!,"AAAAAE//cmQ=")</f>
        <v>#REF!</v>
      </c>
      <c r="CX5" t="e">
        <f>AND(#REF!,"AAAAAE//cmU=")</f>
        <v>#REF!</v>
      </c>
      <c r="CY5" t="e">
        <f>AND(#REF!,"AAAAAE//cmY=")</f>
        <v>#REF!</v>
      </c>
      <c r="CZ5" t="e">
        <f>AND(#REF!,"AAAAAE//cmc=")</f>
        <v>#REF!</v>
      </c>
      <c r="DA5" t="e">
        <f>AND(#REF!,"AAAAAE//cmg=")</f>
        <v>#REF!</v>
      </c>
      <c r="DB5" t="e">
        <f>AND(#REF!,"AAAAAE//cmk=")</f>
        <v>#REF!</v>
      </c>
      <c r="DC5" t="e">
        <f>AND(#REF!,"AAAAAE//cmo=")</f>
        <v>#REF!</v>
      </c>
      <c r="DD5" t="e">
        <f>AND(#REF!,"AAAAAE//cms=")</f>
        <v>#REF!</v>
      </c>
      <c r="DE5" t="e">
        <f>IF(#REF!,"AAAAAE//cmw=",0)</f>
        <v>#REF!</v>
      </c>
      <c r="DF5" t="e">
        <f>AND(#REF!,"AAAAAE//cm0=")</f>
        <v>#REF!</v>
      </c>
      <c r="DG5" t="e">
        <f>AND(#REF!,"AAAAAE//cm4=")</f>
        <v>#REF!</v>
      </c>
      <c r="DH5" t="e">
        <f>AND(#REF!,"AAAAAE//cm8=")</f>
        <v>#REF!</v>
      </c>
      <c r="DI5" t="e">
        <f>AND(#REF!,"AAAAAE//cnA=")</f>
        <v>#REF!</v>
      </c>
      <c r="DJ5" t="e">
        <f>AND(#REF!,"AAAAAE//cnE=")</f>
        <v>#REF!</v>
      </c>
      <c r="DK5" t="e">
        <f>AND(#REF!,"AAAAAE//cnI=")</f>
        <v>#REF!</v>
      </c>
      <c r="DL5" t="e">
        <f>AND(#REF!,"AAAAAE//cnM=")</f>
        <v>#REF!</v>
      </c>
      <c r="DM5" t="e">
        <f>AND(#REF!,"AAAAAE//cnQ=")</f>
        <v>#REF!</v>
      </c>
      <c r="DN5" t="e">
        <f>AND(#REF!,"AAAAAE//cnU=")</f>
        <v>#REF!</v>
      </c>
      <c r="DO5" t="e">
        <f>AND(#REF!,"AAAAAE//cnY=")</f>
        <v>#REF!</v>
      </c>
      <c r="DP5" t="e">
        <f>AND(#REF!,"AAAAAE//cnc=")</f>
        <v>#REF!</v>
      </c>
      <c r="DQ5" t="e">
        <f>AND(#REF!,"AAAAAE//cng=")</f>
        <v>#REF!</v>
      </c>
      <c r="DR5" t="e">
        <f>AND(#REF!,"AAAAAE//cnk=")</f>
        <v>#REF!</v>
      </c>
      <c r="DS5" t="e">
        <f>AND(#REF!,"AAAAAE//cno=")</f>
        <v>#REF!</v>
      </c>
      <c r="DT5" t="e">
        <f>AND(#REF!,"AAAAAE//cns=")</f>
        <v>#REF!</v>
      </c>
      <c r="DU5" t="e">
        <f>AND(#REF!,"AAAAAE//cnw=")</f>
        <v>#REF!</v>
      </c>
      <c r="DV5" t="e">
        <f>AND(#REF!,"AAAAAE//cn0=")</f>
        <v>#REF!</v>
      </c>
      <c r="DW5" t="e">
        <f>AND(#REF!,"AAAAAE//cn4=")</f>
        <v>#REF!</v>
      </c>
      <c r="DX5" t="e">
        <f>IF(#REF!,"AAAAAE//cn8=",0)</f>
        <v>#REF!</v>
      </c>
      <c r="DY5" t="e">
        <f>AND(#REF!,"AAAAAE//coA=")</f>
        <v>#REF!</v>
      </c>
      <c r="DZ5" t="e">
        <f>AND(#REF!,"AAAAAE//coE=")</f>
        <v>#REF!</v>
      </c>
      <c r="EA5" t="e">
        <f>AND(#REF!,"AAAAAE//coI=")</f>
        <v>#REF!</v>
      </c>
      <c r="EB5" t="e">
        <f>AND(#REF!,"AAAAAE//coM=")</f>
        <v>#REF!</v>
      </c>
      <c r="EC5" t="e">
        <f>AND(#REF!,"AAAAAE//coQ=")</f>
        <v>#REF!</v>
      </c>
      <c r="ED5" t="e">
        <f>AND(#REF!,"AAAAAE//coU=")</f>
        <v>#REF!</v>
      </c>
      <c r="EE5" t="e">
        <f>AND(#REF!,"AAAAAE//coY=")</f>
        <v>#REF!</v>
      </c>
      <c r="EF5" t="e">
        <f>AND(#REF!,"AAAAAE//coc=")</f>
        <v>#REF!</v>
      </c>
      <c r="EG5" t="e">
        <f>AND(#REF!,"AAAAAE//cog=")</f>
        <v>#REF!</v>
      </c>
      <c r="EH5" t="e">
        <f>AND(#REF!,"AAAAAE//cok=")</f>
        <v>#REF!</v>
      </c>
      <c r="EI5" t="e">
        <f>AND(#REF!,"AAAAAE//coo=")</f>
        <v>#REF!</v>
      </c>
      <c r="EJ5" t="e">
        <f>AND(#REF!,"AAAAAE//cos=")</f>
        <v>#REF!</v>
      </c>
      <c r="EK5" t="e">
        <f>AND(#REF!,"AAAAAE//cow=")</f>
        <v>#REF!</v>
      </c>
      <c r="EL5" t="e">
        <f>AND(#REF!,"AAAAAE//co0=")</f>
        <v>#REF!</v>
      </c>
      <c r="EM5" t="e">
        <f>AND(#REF!,"AAAAAE//co4=")</f>
        <v>#REF!</v>
      </c>
      <c r="EN5" t="e">
        <f>AND(#REF!,"AAAAAE//co8=")</f>
        <v>#REF!</v>
      </c>
      <c r="EO5" t="e">
        <f>AND(#REF!,"AAAAAE//cpA=")</f>
        <v>#REF!</v>
      </c>
      <c r="EP5" t="e">
        <f>AND(#REF!,"AAAAAE//cpE=")</f>
        <v>#REF!</v>
      </c>
      <c r="EQ5" t="e">
        <f>IF(#REF!,"AAAAAE//cpI=",0)</f>
        <v>#REF!</v>
      </c>
      <c r="ER5" t="e">
        <f>AND(#REF!,"AAAAAE//cpM=")</f>
        <v>#REF!</v>
      </c>
      <c r="ES5" t="e">
        <f>AND(#REF!,"AAAAAE//cpQ=")</f>
        <v>#REF!</v>
      </c>
      <c r="ET5" t="e">
        <f>AND(#REF!,"AAAAAE//cpU=")</f>
        <v>#REF!</v>
      </c>
      <c r="EU5" t="e">
        <f>AND(#REF!,"AAAAAE//cpY=")</f>
        <v>#REF!</v>
      </c>
      <c r="EV5" t="e">
        <f>AND(#REF!,"AAAAAE//cpc=")</f>
        <v>#REF!</v>
      </c>
      <c r="EW5" t="e">
        <f>AND(#REF!,"AAAAAE//cpg=")</f>
        <v>#REF!</v>
      </c>
      <c r="EX5" t="e">
        <f>AND(#REF!,"AAAAAE//cpk=")</f>
        <v>#REF!</v>
      </c>
      <c r="EY5" t="e">
        <f>AND(#REF!,"AAAAAE//cpo=")</f>
        <v>#REF!</v>
      </c>
      <c r="EZ5" t="e">
        <f>AND(#REF!,"AAAAAE//cps=")</f>
        <v>#REF!</v>
      </c>
      <c r="FA5" t="e">
        <f>AND(#REF!,"AAAAAE//cpw=")</f>
        <v>#REF!</v>
      </c>
      <c r="FB5" t="e">
        <f>AND(#REF!,"AAAAAE//cp0=")</f>
        <v>#REF!</v>
      </c>
      <c r="FC5" t="e">
        <f>AND(#REF!,"AAAAAE//cp4=")</f>
        <v>#REF!</v>
      </c>
      <c r="FD5" t="e">
        <f>AND(#REF!,"AAAAAE//cp8=")</f>
        <v>#REF!</v>
      </c>
      <c r="FE5" t="e">
        <f>AND(#REF!,"AAAAAE//cqA=")</f>
        <v>#REF!</v>
      </c>
      <c r="FF5" t="e">
        <f>AND(#REF!,"AAAAAE//cqE=")</f>
        <v>#REF!</v>
      </c>
      <c r="FG5" t="e">
        <f>AND(#REF!,"AAAAAE//cqI=")</f>
        <v>#REF!</v>
      </c>
      <c r="FH5" t="e">
        <f>AND(#REF!,"AAAAAE//cqM=")</f>
        <v>#REF!</v>
      </c>
      <c r="FI5" t="e">
        <f>AND(#REF!,"AAAAAE//cqQ=")</f>
        <v>#REF!</v>
      </c>
      <c r="FJ5" t="e">
        <f>IF(#REF!,"AAAAAE//cqU=",0)</f>
        <v>#REF!</v>
      </c>
      <c r="FK5" t="e">
        <f>AND(#REF!,"AAAAAE//cqY=")</f>
        <v>#REF!</v>
      </c>
      <c r="FL5" t="e">
        <f>AND(#REF!,"AAAAAE//cqc=")</f>
        <v>#REF!</v>
      </c>
      <c r="FM5" t="e">
        <f>AND(#REF!,"AAAAAE//cqg=")</f>
        <v>#REF!</v>
      </c>
      <c r="FN5" t="e">
        <f>AND(#REF!,"AAAAAE//cqk=")</f>
        <v>#REF!</v>
      </c>
      <c r="FO5" t="e">
        <f>AND(#REF!,"AAAAAE//cqo=")</f>
        <v>#REF!</v>
      </c>
      <c r="FP5" t="e">
        <f>AND(#REF!,"AAAAAE//cqs=")</f>
        <v>#REF!</v>
      </c>
      <c r="FQ5" t="e">
        <f>AND(#REF!,"AAAAAE//cqw=")</f>
        <v>#REF!</v>
      </c>
      <c r="FR5" t="e">
        <f>AND(#REF!,"AAAAAE//cq0=")</f>
        <v>#REF!</v>
      </c>
      <c r="FS5" t="e">
        <f>AND(#REF!,"AAAAAE//cq4=")</f>
        <v>#REF!</v>
      </c>
      <c r="FT5" t="e">
        <f>AND(#REF!,"AAAAAE//cq8=")</f>
        <v>#REF!</v>
      </c>
      <c r="FU5" t="e">
        <f>AND(#REF!,"AAAAAE//crA=")</f>
        <v>#REF!</v>
      </c>
      <c r="FV5" t="e">
        <f>AND(#REF!,"AAAAAE//crE=")</f>
        <v>#REF!</v>
      </c>
      <c r="FW5" t="e">
        <f>AND(#REF!,"AAAAAE//crI=")</f>
        <v>#REF!</v>
      </c>
      <c r="FX5" t="e">
        <f>AND(#REF!,"AAAAAE//crM=")</f>
        <v>#REF!</v>
      </c>
      <c r="FY5" t="e">
        <f>AND(#REF!,"AAAAAE//crQ=")</f>
        <v>#REF!</v>
      </c>
      <c r="FZ5" t="e">
        <f>AND(#REF!,"AAAAAE//crU=")</f>
        <v>#REF!</v>
      </c>
      <c r="GA5" t="e">
        <f>AND(#REF!,"AAAAAE//crY=")</f>
        <v>#REF!</v>
      </c>
      <c r="GB5" t="e">
        <f>AND(#REF!,"AAAAAE//crc=")</f>
        <v>#REF!</v>
      </c>
      <c r="GC5" t="e">
        <f>IF(#REF!,"AAAAAE//crg=",0)</f>
        <v>#REF!</v>
      </c>
      <c r="GD5" t="e">
        <f>AND(#REF!,"AAAAAE//crk=")</f>
        <v>#REF!</v>
      </c>
      <c r="GE5" t="e">
        <f>AND(#REF!,"AAAAAE//cro=")</f>
        <v>#REF!</v>
      </c>
      <c r="GF5" t="e">
        <f>AND(#REF!,"AAAAAE//crs=")</f>
        <v>#REF!</v>
      </c>
      <c r="GG5" t="e">
        <f>AND(#REF!,"AAAAAE//crw=")</f>
        <v>#REF!</v>
      </c>
      <c r="GH5" t="e">
        <f>AND(#REF!,"AAAAAE//cr0=")</f>
        <v>#REF!</v>
      </c>
      <c r="GI5" t="e">
        <f>AND(#REF!,"AAAAAE//cr4=")</f>
        <v>#REF!</v>
      </c>
      <c r="GJ5" t="e">
        <f>AND(#REF!,"AAAAAE//cr8=")</f>
        <v>#REF!</v>
      </c>
      <c r="GK5" t="e">
        <f>AND(#REF!,"AAAAAE//csA=")</f>
        <v>#REF!</v>
      </c>
      <c r="GL5" t="e">
        <f>AND(#REF!,"AAAAAE//csE=")</f>
        <v>#REF!</v>
      </c>
      <c r="GM5" t="e">
        <f>AND(#REF!,"AAAAAE//csI=")</f>
        <v>#REF!</v>
      </c>
      <c r="GN5" t="e">
        <f>AND(#REF!,"AAAAAE//csM=")</f>
        <v>#REF!</v>
      </c>
      <c r="GO5" t="e">
        <f>AND(#REF!,"AAAAAE//csQ=")</f>
        <v>#REF!</v>
      </c>
      <c r="GP5" t="e">
        <f>AND(#REF!,"AAAAAE//csU=")</f>
        <v>#REF!</v>
      </c>
      <c r="GQ5" t="e">
        <f>AND(#REF!,"AAAAAE//csY=")</f>
        <v>#REF!</v>
      </c>
      <c r="GR5" t="e">
        <f>AND(#REF!,"AAAAAE//csc=")</f>
        <v>#REF!</v>
      </c>
      <c r="GS5" t="e">
        <f>AND(#REF!,"AAAAAE//csg=")</f>
        <v>#REF!</v>
      </c>
      <c r="GT5" t="e">
        <f>AND(#REF!,"AAAAAE//csk=")</f>
        <v>#REF!</v>
      </c>
      <c r="GU5" t="e">
        <f>AND(#REF!,"AAAAAE//cso=")</f>
        <v>#REF!</v>
      </c>
      <c r="GV5" t="e">
        <f>IF(#REF!,"AAAAAE//css=",0)</f>
        <v>#REF!</v>
      </c>
      <c r="GW5" t="e">
        <f>AND(#REF!,"AAAAAE//csw=")</f>
        <v>#REF!</v>
      </c>
      <c r="GX5" t="e">
        <f>AND(#REF!,"AAAAAE//cs0=")</f>
        <v>#REF!</v>
      </c>
      <c r="GY5" t="e">
        <f>AND(#REF!,"AAAAAE//cs4=")</f>
        <v>#REF!</v>
      </c>
      <c r="GZ5" t="e">
        <f>AND(#REF!,"AAAAAE//cs8=")</f>
        <v>#REF!</v>
      </c>
      <c r="HA5" t="e">
        <f>AND(#REF!,"AAAAAE//ctA=")</f>
        <v>#REF!</v>
      </c>
      <c r="HB5" t="e">
        <f>AND(#REF!,"AAAAAE//ctE=")</f>
        <v>#REF!</v>
      </c>
      <c r="HC5" t="e">
        <f>AND(#REF!,"AAAAAE//ctI=")</f>
        <v>#REF!</v>
      </c>
      <c r="HD5" t="e">
        <f>AND(#REF!,"AAAAAE//ctM=")</f>
        <v>#REF!</v>
      </c>
      <c r="HE5" t="e">
        <f>AND(#REF!,"AAAAAE//ctQ=")</f>
        <v>#REF!</v>
      </c>
      <c r="HF5" t="e">
        <f>AND(#REF!,"AAAAAE//ctU=")</f>
        <v>#REF!</v>
      </c>
      <c r="HG5" t="e">
        <f>AND(#REF!,"AAAAAE//ctY=")</f>
        <v>#REF!</v>
      </c>
      <c r="HH5" t="e">
        <f>AND(#REF!,"AAAAAE//ctc=")</f>
        <v>#REF!</v>
      </c>
      <c r="HI5" t="e">
        <f>AND(#REF!,"AAAAAE//ctg=")</f>
        <v>#REF!</v>
      </c>
      <c r="HJ5" t="e">
        <f>AND(#REF!,"AAAAAE//ctk=")</f>
        <v>#REF!</v>
      </c>
      <c r="HK5" t="e">
        <f>AND(#REF!,"AAAAAE//cto=")</f>
        <v>#REF!</v>
      </c>
      <c r="HL5" t="e">
        <f>AND(#REF!,"AAAAAE//cts=")</f>
        <v>#REF!</v>
      </c>
      <c r="HM5" t="e">
        <f>AND(#REF!,"AAAAAE//ctw=")</f>
        <v>#REF!</v>
      </c>
      <c r="HN5" t="e">
        <f>AND(#REF!,"AAAAAE//ct0=")</f>
        <v>#REF!</v>
      </c>
      <c r="HO5" t="e">
        <f>IF(#REF!,"AAAAAE//ct4=",0)</f>
        <v>#REF!</v>
      </c>
      <c r="HP5" t="e">
        <f>AND(#REF!,"AAAAAE//ct8=")</f>
        <v>#REF!</v>
      </c>
      <c r="HQ5" t="e">
        <f>AND(#REF!,"AAAAAE//cuA=")</f>
        <v>#REF!</v>
      </c>
      <c r="HR5" t="e">
        <f>AND(#REF!,"AAAAAE//cuE=")</f>
        <v>#REF!</v>
      </c>
      <c r="HS5" t="e">
        <f>AND(#REF!,"AAAAAE//cuI=")</f>
        <v>#REF!</v>
      </c>
      <c r="HT5" t="e">
        <f>AND(#REF!,"AAAAAE//cuM=")</f>
        <v>#REF!</v>
      </c>
      <c r="HU5" t="e">
        <f>AND(#REF!,"AAAAAE//cuQ=")</f>
        <v>#REF!</v>
      </c>
      <c r="HV5" t="e">
        <f>AND(#REF!,"AAAAAE//cuU=")</f>
        <v>#REF!</v>
      </c>
      <c r="HW5" t="e">
        <f>AND(#REF!,"AAAAAE//cuY=")</f>
        <v>#REF!</v>
      </c>
      <c r="HX5" t="e">
        <f>AND(#REF!,"AAAAAE//cuc=")</f>
        <v>#REF!</v>
      </c>
      <c r="HY5" t="e">
        <f>AND(#REF!,"AAAAAE//cug=")</f>
        <v>#REF!</v>
      </c>
      <c r="HZ5" t="e">
        <f>AND(#REF!,"AAAAAE//cuk=")</f>
        <v>#REF!</v>
      </c>
      <c r="IA5" t="e">
        <f>AND(#REF!,"AAAAAE//cuo=")</f>
        <v>#REF!</v>
      </c>
      <c r="IB5" t="e">
        <f>AND(#REF!,"AAAAAE//cus=")</f>
        <v>#REF!</v>
      </c>
      <c r="IC5" t="e">
        <f>AND(#REF!,"AAAAAE//cuw=")</f>
        <v>#REF!</v>
      </c>
      <c r="ID5" t="e">
        <f>AND(#REF!,"AAAAAE//cu0=")</f>
        <v>#REF!</v>
      </c>
      <c r="IE5" t="e">
        <f>AND(#REF!,"AAAAAE//cu4=")</f>
        <v>#REF!</v>
      </c>
      <c r="IF5" t="e">
        <f>AND(#REF!,"AAAAAE//cu8=")</f>
        <v>#REF!</v>
      </c>
      <c r="IG5" t="e">
        <f>AND(#REF!,"AAAAAE//cvA=")</f>
        <v>#REF!</v>
      </c>
      <c r="IH5" t="e">
        <f>IF(#REF!,"AAAAAE//cvE=",0)</f>
        <v>#REF!</v>
      </c>
      <c r="II5" t="e">
        <f>AND(#REF!,"AAAAAE//cvI=")</f>
        <v>#REF!</v>
      </c>
      <c r="IJ5" t="e">
        <f>AND(#REF!,"AAAAAE//cvM=")</f>
        <v>#REF!</v>
      </c>
      <c r="IK5" t="e">
        <f>AND(#REF!,"AAAAAE//cvQ=")</f>
        <v>#REF!</v>
      </c>
      <c r="IL5" t="e">
        <f>AND(#REF!,"AAAAAE//cvU=")</f>
        <v>#REF!</v>
      </c>
      <c r="IM5" t="e">
        <f>AND(#REF!,"AAAAAE//cvY=")</f>
        <v>#REF!</v>
      </c>
      <c r="IN5" t="e">
        <f>AND(#REF!,"AAAAAE//cvc=")</f>
        <v>#REF!</v>
      </c>
      <c r="IO5" t="e">
        <f>AND(#REF!,"AAAAAE//cvg=")</f>
        <v>#REF!</v>
      </c>
      <c r="IP5" t="e">
        <f>AND(#REF!,"AAAAAE//cvk=")</f>
        <v>#REF!</v>
      </c>
      <c r="IQ5" t="e">
        <f>AND(#REF!,"AAAAAE//cvo=")</f>
        <v>#REF!</v>
      </c>
      <c r="IR5" t="e">
        <f>AND(#REF!,"AAAAAE//cvs=")</f>
        <v>#REF!</v>
      </c>
      <c r="IS5" t="e">
        <f>AND(#REF!,"AAAAAE//cvw=")</f>
        <v>#REF!</v>
      </c>
      <c r="IT5" t="e">
        <f>AND(#REF!,"AAAAAE//cv0=")</f>
        <v>#REF!</v>
      </c>
      <c r="IU5" t="e">
        <f>AND(#REF!,"AAAAAE//cv4=")</f>
        <v>#REF!</v>
      </c>
      <c r="IV5" t="e">
        <f>AND(#REF!,"AAAAAE//cv8=")</f>
        <v>#REF!</v>
      </c>
    </row>
    <row r="6" spans="1:256">
      <c r="A6" t="e">
        <f>AND(#REF!,"AAAAAD/z/gA=")</f>
        <v>#REF!</v>
      </c>
      <c r="B6" t="e">
        <f>AND(#REF!,"AAAAAD/z/gE=")</f>
        <v>#REF!</v>
      </c>
      <c r="C6" t="e">
        <f>AND(#REF!,"AAAAAD/z/gI=")</f>
        <v>#REF!</v>
      </c>
      <c r="D6" t="e">
        <f>AND(#REF!,"AAAAAD/z/gM=")</f>
        <v>#REF!</v>
      </c>
      <c r="E6" t="e">
        <f>IF(#REF!,"AAAAAD/z/gQ=",0)</f>
        <v>#REF!</v>
      </c>
      <c r="F6" t="e">
        <f>AND(#REF!,"AAAAAD/z/gU=")</f>
        <v>#REF!</v>
      </c>
      <c r="G6" t="e">
        <f>AND(#REF!,"AAAAAD/z/gY=")</f>
        <v>#REF!</v>
      </c>
      <c r="H6" t="e">
        <f>AND(#REF!,"AAAAAD/z/gc=")</f>
        <v>#REF!</v>
      </c>
      <c r="I6" t="e">
        <f>AND(#REF!,"AAAAAD/z/gg=")</f>
        <v>#REF!</v>
      </c>
      <c r="J6" t="e">
        <f>AND(#REF!,"AAAAAD/z/gk=")</f>
        <v>#REF!</v>
      </c>
      <c r="K6" t="e">
        <f>AND(#REF!,"AAAAAD/z/go=")</f>
        <v>#REF!</v>
      </c>
      <c r="L6" t="e">
        <f>AND(#REF!,"AAAAAD/z/gs=")</f>
        <v>#REF!</v>
      </c>
      <c r="M6" t="e">
        <f>AND(#REF!,"AAAAAD/z/gw=")</f>
        <v>#REF!</v>
      </c>
      <c r="N6" t="e">
        <f>AND(#REF!,"AAAAAD/z/g0=")</f>
        <v>#REF!</v>
      </c>
      <c r="O6" t="e">
        <f>AND(#REF!,"AAAAAD/z/g4=")</f>
        <v>#REF!</v>
      </c>
      <c r="P6" t="e">
        <f>AND(#REF!,"AAAAAD/z/g8=")</f>
        <v>#REF!</v>
      </c>
      <c r="Q6" t="e">
        <f>AND(#REF!,"AAAAAD/z/hA=")</f>
        <v>#REF!</v>
      </c>
      <c r="R6" t="e">
        <f>AND(#REF!,"AAAAAD/z/hE=")</f>
        <v>#REF!</v>
      </c>
      <c r="S6" t="e">
        <f>AND(#REF!,"AAAAAD/z/hI=")</f>
        <v>#REF!</v>
      </c>
      <c r="T6" t="e">
        <f>AND(#REF!,"AAAAAD/z/hM=")</f>
        <v>#REF!</v>
      </c>
      <c r="U6" t="e">
        <f>AND(#REF!,"AAAAAD/z/hQ=")</f>
        <v>#REF!</v>
      </c>
      <c r="V6" t="e">
        <f>AND(#REF!,"AAAAAD/z/hU=")</f>
        <v>#REF!</v>
      </c>
      <c r="W6" t="e">
        <f>AND(#REF!,"AAAAAD/z/hY=")</f>
        <v>#REF!</v>
      </c>
      <c r="X6" t="e">
        <f>IF(#REF!,"AAAAAD/z/hc=",0)</f>
        <v>#REF!</v>
      </c>
      <c r="Y6" t="e">
        <f>AND(#REF!,"AAAAAD/z/hg=")</f>
        <v>#REF!</v>
      </c>
      <c r="Z6" t="e">
        <f>AND(#REF!,"AAAAAD/z/hk=")</f>
        <v>#REF!</v>
      </c>
      <c r="AA6" t="e">
        <f>AND(#REF!,"AAAAAD/z/ho=")</f>
        <v>#REF!</v>
      </c>
      <c r="AB6" t="e">
        <f>AND(#REF!,"AAAAAD/z/hs=")</f>
        <v>#REF!</v>
      </c>
      <c r="AC6" t="e">
        <f>AND(#REF!,"AAAAAD/z/hw=")</f>
        <v>#REF!</v>
      </c>
      <c r="AD6" t="e">
        <f>AND(#REF!,"AAAAAD/z/h0=")</f>
        <v>#REF!</v>
      </c>
      <c r="AE6" t="e">
        <f>AND(#REF!,"AAAAAD/z/h4=")</f>
        <v>#REF!</v>
      </c>
      <c r="AF6" t="e">
        <f>AND(#REF!,"AAAAAD/z/h8=")</f>
        <v>#REF!</v>
      </c>
      <c r="AG6" t="e">
        <f>AND(#REF!,"AAAAAD/z/iA=")</f>
        <v>#REF!</v>
      </c>
      <c r="AH6" t="e">
        <f>AND(#REF!,"AAAAAD/z/iE=")</f>
        <v>#REF!</v>
      </c>
      <c r="AI6" t="e">
        <f>AND(#REF!,"AAAAAD/z/iI=")</f>
        <v>#REF!</v>
      </c>
      <c r="AJ6" t="e">
        <f>AND(#REF!,"AAAAAD/z/iM=")</f>
        <v>#REF!</v>
      </c>
      <c r="AK6" t="e">
        <f>AND(#REF!,"AAAAAD/z/iQ=")</f>
        <v>#REF!</v>
      </c>
      <c r="AL6" t="e">
        <f>AND(#REF!,"AAAAAD/z/iU=")</f>
        <v>#REF!</v>
      </c>
      <c r="AM6" t="e">
        <f>AND(#REF!,"AAAAAD/z/iY=")</f>
        <v>#REF!</v>
      </c>
      <c r="AN6" t="e">
        <f>AND(#REF!,"AAAAAD/z/ic=")</f>
        <v>#REF!</v>
      </c>
      <c r="AO6" t="e">
        <f>AND(#REF!,"AAAAAD/z/ig=")</f>
        <v>#REF!</v>
      </c>
      <c r="AP6" t="e">
        <f>AND(#REF!,"AAAAAD/z/ik=")</f>
        <v>#REF!</v>
      </c>
      <c r="AQ6" t="e">
        <f>IF(#REF!,"AAAAAD/z/io=",0)</f>
        <v>#REF!</v>
      </c>
      <c r="AR6" t="e">
        <f>AND(#REF!,"AAAAAD/z/is=")</f>
        <v>#REF!</v>
      </c>
      <c r="AS6" t="e">
        <f>AND(#REF!,"AAAAAD/z/iw=")</f>
        <v>#REF!</v>
      </c>
      <c r="AT6" t="e">
        <f>AND(#REF!,"AAAAAD/z/i0=")</f>
        <v>#REF!</v>
      </c>
      <c r="AU6" t="e">
        <f>AND(#REF!,"AAAAAD/z/i4=")</f>
        <v>#REF!</v>
      </c>
      <c r="AV6" t="e">
        <f>AND(#REF!,"AAAAAD/z/i8=")</f>
        <v>#REF!</v>
      </c>
      <c r="AW6" t="e">
        <f>AND(#REF!,"AAAAAD/z/jA=")</f>
        <v>#REF!</v>
      </c>
      <c r="AX6" t="e">
        <f>AND(#REF!,"AAAAAD/z/jE=")</f>
        <v>#REF!</v>
      </c>
      <c r="AY6" t="e">
        <f>AND(#REF!,"AAAAAD/z/jI=")</f>
        <v>#REF!</v>
      </c>
      <c r="AZ6" t="e">
        <f>AND(#REF!,"AAAAAD/z/jM=")</f>
        <v>#REF!</v>
      </c>
      <c r="BA6" t="e">
        <f>AND(#REF!,"AAAAAD/z/jQ=")</f>
        <v>#REF!</v>
      </c>
      <c r="BB6" t="e">
        <f>AND(#REF!,"AAAAAD/z/jU=")</f>
        <v>#REF!</v>
      </c>
      <c r="BC6" t="e">
        <f>AND(#REF!,"AAAAAD/z/jY=")</f>
        <v>#REF!</v>
      </c>
      <c r="BD6" t="e">
        <f>AND(#REF!,"AAAAAD/z/jc=")</f>
        <v>#REF!</v>
      </c>
      <c r="BE6" t="e">
        <f>AND(#REF!,"AAAAAD/z/jg=")</f>
        <v>#REF!</v>
      </c>
      <c r="BF6" t="e">
        <f>AND(#REF!,"AAAAAD/z/jk=")</f>
        <v>#REF!</v>
      </c>
      <c r="BG6" t="e">
        <f>AND(#REF!,"AAAAAD/z/jo=")</f>
        <v>#REF!</v>
      </c>
      <c r="BH6" t="e">
        <f>AND(#REF!,"AAAAAD/z/js=")</f>
        <v>#REF!</v>
      </c>
      <c r="BI6" t="e">
        <f>AND(#REF!,"AAAAAD/z/jw=")</f>
        <v>#REF!</v>
      </c>
      <c r="BJ6" t="e">
        <f>IF(#REF!,"AAAAAD/z/j0=",0)</f>
        <v>#REF!</v>
      </c>
      <c r="BK6" t="e">
        <f>AND(#REF!,"AAAAAD/z/j4=")</f>
        <v>#REF!</v>
      </c>
      <c r="BL6" t="e">
        <f>AND(#REF!,"AAAAAD/z/j8=")</f>
        <v>#REF!</v>
      </c>
      <c r="BM6" t="e">
        <f>AND(#REF!,"AAAAAD/z/kA=")</f>
        <v>#REF!</v>
      </c>
      <c r="BN6" t="e">
        <f>AND(#REF!,"AAAAAD/z/kE=")</f>
        <v>#REF!</v>
      </c>
      <c r="BO6" t="e">
        <f>AND(#REF!,"AAAAAD/z/kI=")</f>
        <v>#REF!</v>
      </c>
      <c r="BP6" t="e">
        <f>AND(#REF!,"AAAAAD/z/kM=")</f>
        <v>#REF!</v>
      </c>
      <c r="BQ6" t="e">
        <f>AND(#REF!,"AAAAAD/z/kQ=")</f>
        <v>#REF!</v>
      </c>
      <c r="BR6" t="e">
        <f>AND(#REF!,"AAAAAD/z/kU=")</f>
        <v>#REF!</v>
      </c>
      <c r="BS6" t="e">
        <f>AND(#REF!,"AAAAAD/z/kY=")</f>
        <v>#REF!</v>
      </c>
      <c r="BT6" t="e">
        <f>AND(#REF!,"AAAAAD/z/kc=")</f>
        <v>#REF!</v>
      </c>
      <c r="BU6" t="e">
        <f>AND(#REF!,"AAAAAD/z/kg=")</f>
        <v>#REF!</v>
      </c>
      <c r="BV6" t="e">
        <f>AND(#REF!,"AAAAAD/z/kk=")</f>
        <v>#REF!</v>
      </c>
      <c r="BW6" t="e">
        <f>AND(#REF!,"AAAAAD/z/ko=")</f>
        <v>#REF!</v>
      </c>
      <c r="BX6" t="e">
        <f>AND(#REF!,"AAAAAD/z/ks=")</f>
        <v>#REF!</v>
      </c>
      <c r="BY6" t="e">
        <f>AND(#REF!,"AAAAAD/z/kw=")</f>
        <v>#REF!</v>
      </c>
      <c r="BZ6" t="e">
        <f>AND(#REF!,"AAAAAD/z/k0=")</f>
        <v>#REF!</v>
      </c>
      <c r="CA6" t="e">
        <f>AND(#REF!,"AAAAAD/z/k4=")</f>
        <v>#REF!</v>
      </c>
      <c r="CB6" t="e">
        <f>AND(#REF!,"AAAAAD/z/k8=")</f>
        <v>#REF!</v>
      </c>
      <c r="CC6" t="e">
        <f>IF(#REF!,"AAAAAD/z/lA=",0)</f>
        <v>#REF!</v>
      </c>
      <c r="CD6" t="e">
        <f>AND(#REF!,"AAAAAD/z/lE=")</f>
        <v>#REF!</v>
      </c>
      <c r="CE6" t="e">
        <f>AND(#REF!,"AAAAAD/z/lI=")</f>
        <v>#REF!</v>
      </c>
      <c r="CF6" t="e">
        <f>AND(#REF!,"AAAAAD/z/lM=")</f>
        <v>#REF!</v>
      </c>
      <c r="CG6" t="e">
        <f>AND(#REF!,"AAAAAD/z/lQ=")</f>
        <v>#REF!</v>
      </c>
      <c r="CH6" t="e">
        <f>AND(#REF!,"AAAAAD/z/lU=")</f>
        <v>#REF!</v>
      </c>
      <c r="CI6" t="e">
        <f>AND(#REF!,"AAAAAD/z/lY=")</f>
        <v>#REF!</v>
      </c>
      <c r="CJ6" t="e">
        <f>AND(#REF!,"AAAAAD/z/lc=")</f>
        <v>#REF!</v>
      </c>
      <c r="CK6" t="e">
        <f>AND(#REF!,"AAAAAD/z/lg=")</f>
        <v>#REF!</v>
      </c>
      <c r="CL6" t="e">
        <f>AND(#REF!,"AAAAAD/z/lk=")</f>
        <v>#REF!</v>
      </c>
      <c r="CM6" t="e">
        <f>AND(#REF!,"AAAAAD/z/lo=")</f>
        <v>#REF!</v>
      </c>
      <c r="CN6" t="e">
        <f>AND(#REF!,"AAAAAD/z/ls=")</f>
        <v>#REF!</v>
      </c>
      <c r="CO6" t="e">
        <f>AND(#REF!,"AAAAAD/z/lw=")</f>
        <v>#REF!</v>
      </c>
      <c r="CP6" t="e">
        <f>AND(#REF!,"AAAAAD/z/l0=")</f>
        <v>#REF!</v>
      </c>
      <c r="CQ6" t="e">
        <f>AND(#REF!,"AAAAAD/z/l4=")</f>
        <v>#REF!</v>
      </c>
      <c r="CR6" t="e">
        <f>AND(#REF!,"AAAAAD/z/l8=")</f>
        <v>#REF!</v>
      </c>
      <c r="CS6" t="e">
        <f>AND(#REF!,"AAAAAD/z/mA=")</f>
        <v>#REF!</v>
      </c>
      <c r="CT6" t="e">
        <f>AND(#REF!,"AAAAAD/z/mE=")</f>
        <v>#REF!</v>
      </c>
      <c r="CU6" t="e">
        <f>AND(#REF!,"AAAAAD/z/mI=")</f>
        <v>#REF!</v>
      </c>
      <c r="CV6" t="e">
        <f>IF(#REF!,"AAAAAD/z/mM=",0)</f>
        <v>#REF!</v>
      </c>
      <c r="CW6" t="e">
        <f>AND(#REF!,"AAAAAD/z/mQ=")</f>
        <v>#REF!</v>
      </c>
      <c r="CX6" t="e">
        <f>AND(#REF!,"AAAAAD/z/mU=")</f>
        <v>#REF!</v>
      </c>
      <c r="CY6" t="e">
        <f>AND(#REF!,"AAAAAD/z/mY=")</f>
        <v>#REF!</v>
      </c>
      <c r="CZ6" t="e">
        <f>AND(#REF!,"AAAAAD/z/mc=")</f>
        <v>#REF!</v>
      </c>
      <c r="DA6" t="e">
        <f>AND(#REF!,"AAAAAD/z/mg=")</f>
        <v>#REF!</v>
      </c>
      <c r="DB6" t="e">
        <f>AND(#REF!,"AAAAAD/z/mk=")</f>
        <v>#REF!</v>
      </c>
      <c r="DC6" t="e">
        <f>AND(#REF!,"AAAAAD/z/mo=")</f>
        <v>#REF!</v>
      </c>
      <c r="DD6" t="e">
        <f>AND(#REF!,"AAAAAD/z/ms=")</f>
        <v>#REF!</v>
      </c>
      <c r="DE6" t="e">
        <f>AND(#REF!,"AAAAAD/z/mw=")</f>
        <v>#REF!</v>
      </c>
      <c r="DF6" t="e">
        <f>AND(#REF!,"AAAAAD/z/m0=")</f>
        <v>#REF!</v>
      </c>
      <c r="DG6" t="e">
        <f>AND(#REF!,"AAAAAD/z/m4=")</f>
        <v>#REF!</v>
      </c>
      <c r="DH6" t="e">
        <f>AND(#REF!,"AAAAAD/z/m8=")</f>
        <v>#REF!</v>
      </c>
      <c r="DI6" t="e">
        <f>AND(#REF!,"AAAAAD/z/nA=")</f>
        <v>#REF!</v>
      </c>
      <c r="DJ6" t="e">
        <f>AND(#REF!,"AAAAAD/z/nE=")</f>
        <v>#REF!</v>
      </c>
      <c r="DK6" t="e">
        <f>AND(#REF!,"AAAAAD/z/nI=")</f>
        <v>#REF!</v>
      </c>
      <c r="DL6" t="e">
        <f>AND(#REF!,"AAAAAD/z/nM=")</f>
        <v>#REF!</v>
      </c>
      <c r="DM6" t="e">
        <f>AND(#REF!,"AAAAAD/z/nQ=")</f>
        <v>#REF!</v>
      </c>
      <c r="DN6" t="e">
        <f>AND(#REF!,"AAAAAD/z/nU=")</f>
        <v>#REF!</v>
      </c>
      <c r="DO6" t="e">
        <f>IF(#REF!,"AAAAAD/z/nY=",0)</f>
        <v>#REF!</v>
      </c>
      <c r="DP6" t="e">
        <f>AND(#REF!,"AAAAAD/z/nc=")</f>
        <v>#REF!</v>
      </c>
      <c r="DQ6" t="e">
        <f>AND(#REF!,"AAAAAD/z/ng=")</f>
        <v>#REF!</v>
      </c>
      <c r="DR6" t="e">
        <f>AND(#REF!,"AAAAAD/z/nk=")</f>
        <v>#REF!</v>
      </c>
      <c r="DS6" t="e">
        <f>AND(#REF!,"AAAAAD/z/no=")</f>
        <v>#REF!</v>
      </c>
      <c r="DT6" t="e">
        <f>AND(#REF!,"AAAAAD/z/ns=")</f>
        <v>#REF!</v>
      </c>
      <c r="DU6" t="e">
        <f>AND(#REF!,"AAAAAD/z/nw=")</f>
        <v>#REF!</v>
      </c>
      <c r="DV6" t="e">
        <f>AND(#REF!,"AAAAAD/z/n0=")</f>
        <v>#REF!</v>
      </c>
      <c r="DW6" t="e">
        <f>AND(#REF!,"AAAAAD/z/n4=")</f>
        <v>#REF!</v>
      </c>
      <c r="DX6" t="e">
        <f>AND(#REF!,"AAAAAD/z/n8=")</f>
        <v>#REF!</v>
      </c>
      <c r="DY6" t="e">
        <f>AND(#REF!,"AAAAAD/z/oA=")</f>
        <v>#REF!</v>
      </c>
      <c r="DZ6" t="e">
        <f>AND(#REF!,"AAAAAD/z/oE=")</f>
        <v>#REF!</v>
      </c>
      <c r="EA6" t="e">
        <f>AND(#REF!,"AAAAAD/z/oI=")</f>
        <v>#REF!</v>
      </c>
      <c r="EB6" t="e">
        <f>AND(#REF!,"AAAAAD/z/oM=")</f>
        <v>#REF!</v>
      </c>
      <c r="EC6" t="e">
        <f>AND(#REF!,"AAAAAD/z/oQ=")</f>
        <v>#REF!</v>
      </c>
      <c r="ED6" t="e">
        <f>AND(#REF!,"AAAAAD/z/oU=")</f>
        <v>#REF!</v>
      </c>
      <c r="EE6" t="e">
        <f>AND(#REF!,"AAAAAD/z/oY=")</f>
        <v>#REF!</v>
      </c>
      <c r="EF6" t="e">
        <f>AND(#REF!,"AAAAAD/z/oc=")</f>
        <v>#REF!</v>
      </c>
      <c r="EG6" t="e">
        <f>AND(#REF!,"AAAAAD/z/og=")</f>
        <v>#REF!</v>
      </c>
      <c r="EH6" t="e">
        <f>IF(#REF!,"AAAAAD/z/ok=",0)</f>
        <v>#REF!</v>
      </c>
      <c r="EI6" t="e">
        <f>AND(#REF!,"AAAAAD/z/oo=")</f>
        <v>#REF!</v>
      </c>
      <c r="EJ6" t="e">
        <f>AND(#REF!,"AAAAAD/z/os=")</f>
        <v>#REF!</v>
      </c>
      <c r="EK6" t="e">
        <f>AND(#REF!,"AAAAAD/z/ow=")</f>
        <v>#REF!</v>
      </c>
      <c r="EL6" t="e">
        <f>AND(#REF!,"AAAAAD/z/o0=")</f>
        <v>#REF!</v>
      </c>
      <c r="EM6" t="e">
        <f>AND(#REF!,"AAAAAD/z/o4=")</f>
        <v>#REF!</v>
      </c>
      <c r="EN6" t="e">
        <f>AND(#REF!,"AAAAAD/z/o8=")</f>
        <v>#REF!</v>
      </c>
      <c r="EO6" t="e">
        <f>AND(#REF!,"AAAAAD/z/pA=")</f>
        <v>#REF!</v>
      </c>
      <c r="EP6" t="e">
        <f>AND(#REF!,"AAAAAD/z/pE=")</f>
        <v>#REF!</v>
      </c>
      <c r="EQ6" t="e">
        <f>AND(#REF!,"AAAAAD/z/pI=")</f>
        <v>#REF!</v>
      </c>
      <c r="ER6" t="e">
        <f>AND(#REF!,"AAAAAD/z/pM=")</f>
        <v>#REF!</v>
      </c>
      <c r="ES6" t="e">
        <f>AND(#REF!,"AAAAAD/z/pQ=")</f>
        <v>#REF!</v>
      </c>
      <c r="ET6" t="e">
        <f>AND(#REF!,"AAAAAD/z/pU=")</f>
        <v>#REF!</v>
      </c>
      <c r="EU6" t="e">
        <f>AND(#REF!,"AAAAAD/z/pY=")</f>
        <v>#REF!</v>
      </c>
      <c r="EV6" t="e">
        <f>AND(#REF!,"AAAAAD/z/pc=")</f>
        <v>#REF!</v>
      </c>
      <c r="EW6" t="e">
        <f>AND(#REF!,"AAAAAD/z/pg=")</f>
        <v>#REF!</v>
      </c>
      <c r="EX6" t="e">
        <f>AND(#REF!,"AAAAAD/z/pk=")</f>
        <v>#REF!</v>
      </c>
      <c r="EY6" t="e">
        <f>AND(#REF!,"AAAAAD/z/po=")</f>
        <v>#REF!</v>
      </c>
      <c r="EZ6" t="e">
        <f>AND(#REF!,"AAAAAD/z/ps=")</f>
        <v>#REF!</v>
      </c>
      <c r="FA6" t="e">
        <f>IF(#REF!,"AAAAAD/z/pw=",0)</f>
        <v>#REF!</v>
      </c>
      <c r="FB6" t="e">
        <f>AND(#REF!,"AAAAAD/z/p0=")</f>
        <v>#REF!</v>
      </c>
      <c r="FC6" t="e">
        <f>AND(#REF!,"AAAAAD/z/p4=")</f>
        <v>#REF!</v>
      </c>
      <c r="FD6" t="e">
        <f>AND(#REF!,"AAAAAD/z/p8=")</f>
        <v>#REF!</v>
      </c>
      <c r="FE6" t="e">
        <f>AND(#REF!,"AAAAAD/z/qA=")</f>
        <v>#REF!</v>
      </c>
      <c r="FF6" t="e">
        <f>AND(#REF!,"AAAAAD/z/qE=")</f>
        <v>#REF!</v>
      </c>
      <c r="FG6" t="e">
        <f>AND(#REF!,"AAAAAD/z/qI=")</f>
        <v>#REF!</v>
      </c>
      <c r="FH6" t="e">
        <f>AND(#REF!,"AAAAAD/z/qM=")</f>
        <v>#REF!</v>
      </c>
      <c r="FI6" t="e">
        <f>AND(#REF!,"AAAAAD/z/qQ=")</f>
        <v>#REF!</v>
      </c>
      <c r="FJ6" t="e">
        <f>AND(#REF!,"AAAAAD/z/qU=")</f>
        <v>#REF!</v>
      </c>
      <c r="FK6" t="e">
        <f>AND(#REF!,"AAAAAD/z/qY=")</f>
        <v>#REF!</v>
      </c>
      <c r="FL6" t="e">
        <f>AND(#REF!,"AAAAAD/z/qc=")</f>
        <v>#REF!</v>
      </c>
      <c r="FM6" t="e">
        <f>AND(#REF!,"AAAAAD/z/qg=")</f>
        <v>#REF!</v>
      </c>
      <c r="FN6" t="e">
        <f>AND(#REF!,"AAAAAD/z/qk=")</f>
        <v>#REF!</v>
      </c>
      <c r="FO6" t="e">
        <f>AND(#REF!,"AAAAAD/z/qo=")</f>
        <v>#REF!</v>
      </c>
      <c r="FP6" t="e">
        <f>AND(#REF!,"AAAAAD/z/qs=")</f>
        <v>#REF!</v>
      </c>
      <c r="FQ6" t="e">
        <f>AND(#REF!,"AAAAAD/z/qw=")</f>
        <v>#REF!</v>
      </c>
      <c r="FR6" t="e">
        <f>AND(#REF!,"AAAAAD/z/q0=")</f>
        <v>#REF!</v>
      </c>
      <c r="FS6" t="e">
        <f>AND(#REF!,"AAAAAD/z/q4=")</f>
        <v>#REF!</v>
      </c>
      <c r="FT6" t="e">
        <f>IF(#REF!,"AAAAAD/z/q8=",0)</f>
        <v>#REF!</v>
      </c>
      <c r="FU6" t="e">
        <f>AND(#REF!,"AAAAAD/z/rA=")</f>
        <v>#REF!</v>
      </c>
      <c r="FV6" t="e">
        <f>AND(#REF!,"AAAAAD/z/rE=")</f>
        <v>#REF!</v>
      </c>
      <c r="FW6" t="e">
        <f>AND(#REF!,"AAAAAD/z/rI=")</f>
        <v>#REF!</v>
      </c>
      <c r="FX6" t="e">
        <f>AND(#REF!,"AAAAAD/z/rM=")</f>
        <v>#REF!</v>
      </c>
      <c r="FY6" t="e">
        <f>AND(#REF!,"AAAAAD/z/rQ=")</f>
        <v>#REF!</v>
      </c>
      <c r="FZ6" t="e">
        <f>AND(#REF!,"AAAAAD/z/rU=")</f>
        <v>#REF!</v>
      </c>
      <c r="GA6" t="e">
        <f>AND(#REF!,"AAAAAD/z/rY=")</f>
        <v>#REF!</v>
      </c>
      <c r="GB6" t="e">
        <f>AND(#REF!,"AAAAAD/z/rc=")</f>
        <v>#REF!</v>
      </c>
      <c r="GC6" t="e">
        <f>AND(#REF!,"AAAAAD/z/rg=")</f>
        <v>#REF!</v>
      </c>
      <c r="GD6" t="e">
        <f>AND(#REF!,"AAAAAD/z/rk=")</f>
        <v>#REF!</v>
      </c>
      <c r="GE6" t="e">
        <f>AND(#REF!,"AAAAAD/z/ro=")</f>
        <v>#REF!</v>
      </c>
      <c r="GF6" t="e">
        <f>AND(#REF!,"AAAAAD/z/rs=")</f>
        <v>#REF!</v>
      </c>
      <c r="GG6" t="e">
        <f>AND(#REF!,"AAAAAD/z/rw=")</f>
        <v>#REF!</v>
      </c>
      <c r="GH6" t="e">
        <f>AND(#REF!,"AAAAAD/z/r0=")</f>
        <v>#REF!</v>
      </c>
      <c r="GI6" t="e">
        <f>AND(#REF!,"AAAAAD/z/r4=")</f>
        <v>#REF!</v>
      </c>
      <c r="GJ6" t="e">
        <f>AND(#REF!,"AAAAAD/z/r8=")</f>
        <v>#REF!</v>
      </c>
      <c r="GK6" t="e">
        <f>AND(#REF!,"AAAAAD/z/sA=")</f>
        <v>#REF!</v>
      </c>
      <c r="GL6" t="e">
        <f>AND(#REF!,"AAAAAD/z/sE=")</f>
        <v>#REF!</v>
      </c>
      <c r="GM6" t="e">
        <f>IF(#REF!,"AAAAAD/z/sI=",0)</f>
        <v>#REF!</v>
      </c>
      <c r="GN6" t="e">
        <f>AND(#REF!,"AAAAAD/z/sM=")</f>
        <v>#REF!</v>
      </c>
      <c r="GO6" t="e">
        <f>AND(#REF!,"AAAAAD/z/sQ=")</f>
        <v>#REF!</v>
      </c>
      <c r="GP6" t="e">
        <f>AND(#REF!,"AAAAAD/z/sU=")</f>
        <v>#REF!</v>
      </c>
      <c r="GQ6" t="e">
        <f>AND(#REF!,"AAAAAD/z/sY=")</f>
        <v>#REF!</v>
      </c>
      <c r="GR6" t="e">
        <f>AND(#REF!,"AAAAAD/z/sc=")</f>
        <v>#REF!</v>
      </c>
      <c r="GS6" t="e">
        <f>AND(#REF!,"AAAAAD/z/sg=")</f>
        <v>#REF!</v>
      </c>
      <c r="GT6" t="e">
        <f>AND(#REF!,"AAAAAD/z/sk=")</f>
        <v>#REF!</v>
      </c>
      <c r="GU6" t="e">
        <f>AND(#REF!,"AAAAAD/z/so=")</f>
        <v>#REF!</v>
      </c>
      <c r="GV6" t="e">
        <f>AND(#REF!,"AAAAAD/z/ss=")</f>
        <v>#REF!</v>
      </c>
      <c r="GW6" t="e">
        <f>AND(#REF!,"AAAAAD/z/sw=")</f>
        <v>#REF!</v>
      </c>
      <c r="GX6" t="e">
        <f>AND(#REF!,"AAAAAD/z/s0=")</f>
        <v>#REF!</v>
      </c>
      <c r="GY6" t="e">
        <f>AND(#REF!,"AAAAAD/z/s4=")</f>
        <v>#REF!</v>
      </c>
      <c r="GZ6" t="e">
        <f>AND(#REF!,"AAAAAD/z/s8=")</f>
        <v>#REF!</v>
      </c>
      <c r="HA6" t="e">
        <f>AND(#REF!,"AAAAAD/z/tA=")</f>
        <v>#REF!</v>
      </c>
      <c r="HB6" t="e">
        <f>AND(#REF!,"AAAAAD/z/tE=")</f>
        <v>#REF!</v>
      </c>
      <c r="HC6" t="e">
        <f>AND(#REF!,"AAAAAD/z/tI=")</f>
        <v>#REF!</v>
      </c>
      <c r="HD6" t="e">
        <f>AND(#REF!,"AAAAAD/z/tM=")</f>
        <v>#REF!</v>
      </c>
      <c r="HE6" t="e">
        <f>AND(#REF!,"AAAAAD/z/tQ=")</f>
        <v>#REF!</v>
      </c>
      <c r="HF6" t="e">
        <f>IF(#REF!,"AAAAAD/z/tU=",0)</f>
        <v>#REF!</v>
      </c>
      <c r="HG6" t="e">
        <f>AND(#REF!,"AAAAAD/z/tY=")</f>
        <v>#REF!</v>
      </c>
      <c r="HH6" t="e">
        <f>AND(#REF!,"AAAAAD/z/tc=")</f>
        <v>#REF!</v>
      </c>
      <c r="HI6" t="e">
        <f>AND(#REF!,"AAAAAD/z/tg=")</f>
        <v>#REF!</v>
      </c>
      <c r="HJ6" t="e">
        <f>AND(#REF!,"AAAAAD/z/tk=")</f>
        <v>#REF!</v>
      </c>
      <c r="HK6" t="e">
        <f>AND(#REF!,"AAAAAD/z/to=")</f>
        <v>#REF!</v>
      </c>
      <c r="HL6" t="e">
        <f>AND(#REF!,"AAAAAD/z/ts=")</f>
        <v>#REF!</v>
      </c>
      <c r="HM6" t="e">
        <f>AND(#REF!,"AAAAAD/z/tw=")</f>
        <v>#REF!</v>
      </c>
      <c r="HN6" t="e">
        <f>AND(#REF!,"AAAAAD/z/t0=")</f>
        <v>#REF!</v>
      </c>
      <c r="HO6" t="e">
        <f>AND(#REF!,"AAAAAD/z/t4=")</f>
        <v>#REF!</v>
      </c>
      <c r="HP6" t="e">
        <f>AND(#REF!,"AAAAAD/z/t8=")</f>
        <v>#REF!</v>
      </c>
      <c r="HQ6" t="e">
        <f>AND(#REF!,"AAAAAD/z/uA=")</f>
        <v>#REF!</v>
      </c>
      <c r="HR6" t="e">
        <f>AND(#REF!,"AAAAAD/z/uE=")</f>
        <v>#REF!</v>
      </c>
      <c r="HS6" t="e">
        <f>AND(#REF!,"AAAAAD/z/uI=")</f>
        <v>#REF!</v>
      </c>
      <c r="HT6" t="e">
        <f>AND(#REF!,"AAAAAD/z/uM=")</f>
        <v>#REF!</v>
      </c>
      <c r="HU6" t="e">
        <f>AND(#REF!,"AAAAAD/z/uQ=")</f>
        <v>#REF!</v>
      </c>
      <c r="HV6" t="e">
        <f>AND(#REF!,"AAAAAD/z/uU=")</f>
        <v>#REF!</v>
      </c>
      <c r="HW6" t="e">
        <f>AND(#REF!,"AAAAAD/z/uY=")</f>
        <v>#REF!</v>
      </c>
      <c r="HX6" t="e">
        <f>AND(#REF!,"AAAAAD/z/uc=")</f>
        <v>#REF!</v>
      </c>
      <c r="HY6" t="e">
        <f>IF(#REF!,"AAAAAD/z/ug=",0)</f>
        <v>#REF!</v>
      </c>
      <c r="HZ6" t="e">
        <f>AND(#REF!,"AAAAAD/z/uk=")</f>
        <v>#REF!</v>
      </c>
      <c r="IA6" t="e">
        <f>AND(#REF!,"AAAAAD/z/uo=")</f>
        <v>#REF!</v>
      </c>
      <c r="IB6" t="e">
        <f>AND(#REF!,"AAAAAD/z/us=")</f>
        <v>#REF!</v>
      </c>
      <c r="IC6" t="e">
        <f>AND(#REF!,"AAAAAD/z/uw=")</f>
        <v>#REF!</v>
      </c>
      <c r="ID6" t="e">
        <f>AND(#REF!,"AAAAAD/z/u0=")</f>
        <v>#REF!</v>
      </c>
      <c r="IE6" t="e">
        <f>AND(#REF!,"AAAAAD/z/u4=")</f>
        <v>#REF!</v>
      </c>
      <c r="IF6" t="e">
        <f>AND(#REF!,"AAAAAD/z/u8=")</f>
        <v>#REF!</v>
      </c>
      <c r="IG6" t="e">
        <f>AND(#REF!,"AAAAAD/z/vA=")</f>
        <v>#REF!</v>
      </c>
      <c r="IH6" t="e">
        <f>AND(#REF!,"AAAAAD/z/vE=")</f>
        <v>#REF!</v>
      </c>
      <c r="II6" t="e">
        <f>AND(#REF!,"AAAAAD/z/vI=")</f>
        <v>#REF!</v>
      </c>
      <c r="IJ6" t="e">
        <f>AND(#REF!,"AAAAAD/z/vM=")</f>
        <v>#REF!</v>
      </c>
      <c r="IK6" t="e">
        <f>AND(#REF!,"AAAAAD/z/vQ=")</f>
        <v>#REF!</v>
      </c>
      <c r="IL6" t="e">
        <f>AND(#REF!,"AAAAAD/z/vU=")</f>
        <v>#REF!</v>
      </c>
      <c r="IM6" t="e">
        <f>AND(#REF!,"AAAAAD/z/vY=")</f>
        <v>#REF!</v>
      </c>
      <c r="IN6" t="e">
        <f>AND(#REF!,"AAAAAD/z/vc=")</f>
        <v>#REF!</v>
      </c>
      <c r="IO6" t="e">
        <f>AND(#REF!,"AAAAAD/z/vg=")</f>
        <v>#REF!</v>
      </c>
      <c r="IP6" t="e">
        <f>AND(#REF!,"AAAAAD/z/vk=")</f>
        <v>#REF!</v>
      </c>
      <c r="IQ6" t="e">
        <f>AND(#REF!,"AAAAAD/z/vo=")</f>
        <v>#REF!</v>
      </c>
      <c r="IR6" t="e">
        <f>IF(#REF!,"AAAAAD/z/vs=",0)</f>
        <v>#REF!</v>
      </c>
      <c r="IS6" t="e">
        <f>AND(#REF!,"AAAAAD/z/vw=")</f>
        <v>#REF!</v>
      </c>
      <c r="IT6" t="e">
        <f>AND(#REF!,"AAAAAD/z/v0=")</f>
        <v>#REF!</v>
      </c>
      <c r="IU6" t="e">
        <f>AND(#REF!,"AAAAAD/z/v4=")</f>
        <v>#REF!</v>
      </c>
      <c r="IV6" t="e">
        <f>AND(#REF!,"AAAAAD/z/v8=")</f>
        <v>#REF!</v>
      </c>
    </row>
    <row r="7" spans="1:256">
      <c r="A7" t="e">
        <f>AND(#REF!,"AAAAAHuuvwA=")</f>
        <v>#REF!</v>
      </c>
      <c r="B7" t="e">
        <f>AND(#REF!,"AAAAAHuuvwE=")</f>
        <v>#REF!</v>
      </c>
      <c r="C7" t="e">
        <f>AND(#REF!,"AAAAAHuuvwI=")</f>
        <v>#REF!</v>
      </c>
      <c r="D7" t="e">
        <f>AND(#REF!,"AAAAAHuuvwM=")</f>
        <v>#REF!</v>
      </c>
      <c r="E7" t="e">
        <f>AND(#REF!,"AAAAAHuuvwQ=")</f>
        <v>#REF!</v>
      </c>
      <c r="F7" t="e">
        <f>AND(#REF!,"AAAAAHuuvwU=")</f>
        <v>#REF!</v>
      </c>
      <c r="G7" t="e">
        <f>AND(#REF!,"AAAAAHuuvwY=")</f>
        <v>#REF!</v>
      </c>
      <c r="H7" t="e">
        <f>AND(#REF!,"AAAAAHuuvwc=")</f>
        <v>#REF!</v>
      </c>
      <c r="I7" t="e">
        <f>AND(#REF!,"AAAAAHuuvwg=")</f>
        <v>#REF!</v>
      </c>
      <c r="J7" t="e">
        <f>AND(#REF!,"AAAAAHuuvwk=")</f>
        <v>#REF!</v>
      </c>
      <c r="K7" t="e">
        <f>AND(#REF!,"AAAAAHuuvwo=")</f>
        <v>#REF!</v>
      </c>
      <c r="L7" t="e">
        <f>AND(#REF!,"AAAAAHuuvws=")</f>
        <v>#REF!</v>
      </c>
      <c r="M7" t="e">
        <f>AND(#REF!,"AAAAAHuuvww=")</f>
        <v>#REF!</v>
      </c>
      <c r="N7" t="e">
        <f>AND(#REF!,"AAAAAHuuvw0=")</f>
        <v>#REF!</v>
      </c>
      <c r="O7" t="e">
        <f>IF(#REF!,"AAAAAHuuvw4=",0)</f>
        <v>#REF!</v>
      </c>
      <c r="P7" t="e">
        <f>AND(#REF!,"AAAAAHuuvw8=")</f>
        <v>#REF!</v>
      </c>
      <c r="Q7" t="e">
        <f>AND(#REF!,"AAAAAHuuvxA=")</f>
        <v>#REF!</v>
      </c>
      <c r="R7" t="e">
        <f>AND(#REF!,"AAAAAHuuvxE=")</f>
        <v>#REF!</v>
      </c>
      <c r="S7" t="e">
        <f>AND(#REF!,"AAAAAHuuvxI=")</f>
        <v>#REF!</v>
      </c>
      <c r="T7" t="e">
        <f>AND(#REF!,"AAAAAHuuvxM=")</f>
        <v>#REF!</v>
      </c>
      <c r="U7" t="e">
        <f>AND(#REF!,"AAAAAHuuvxQ=")</f>
        <v>#REF!</v>
      </c>
      <c r="V7" t="e">
        <f>AND(#REF!,"AAAAAHuuvxU=")</f>
        <v>#REF!</v>
      </c>
      <c r="W7" t="e">
        <f>AND(#REF!,"AAAAAHuuvxY=")</f>
        <v>#REF!</v>
      </c>
      <c r="X7" t="e">
        <f>AND(#REF!,"AAAAAHuuvxc=")</f>
        <v>#REF!</v>
      </c>
      <c r="Y7" t="e">
        <f>AND(#REF!,"AAAAAHuuvxg=")</f>
        <v>#REF!</v>
      </c>
      <c r="Z7" t="e">
        <f>AND(#REF!,"AAAAAHuuvxk=")</f>
        <v>#REF!</v>
      </c>
      <c r="AA7" t="e">
        <f>AND(#REF!,"AAAAAHuuvxo=")</f>
        <v>#REF!</v>
      </c>
      <c r="AB7" t="e">
        <f>AND(#REF!,"AAAAAHuuvxs=")</f>
        <v>#REF!</v>
      </c>
      <c r="AC7" t="e">
        <f>AND(#REF!,"AAAAAHuuvxw=")</f>
        <v>#REF!</v>
      </c>
      <c r="AD7" t="e">
        <f>AND(#REF!,"AAAAAHuuvx0=")</f>
        <v>#REF!</v>
      </c>
      <c r="AE7" t="e">
        <f>AND(#REF!,"AAAAAHuuvx4=")</f>
        <v>#REF!</v>
      </c>
      <c r="AF7" t="e">
        <f>AND(#REF!,"AAAAAHuuvx8=")</f>
        <v>#REF!</v>
      </c>
      <c r="AG7" t="e">
        <f>AND(#REF!,"AAAAAHuuvyA=")</f>
        <v>#REF!</v>
      </c>
      <c r="AH7" t="e">
        <f>IF(#REF!,"AAAAAHuuvyE=",0)</f>
        <v>#REF!</v>
      </c>
      <c r="AI7" t="e">
        <f>AND(#REF!,"AAAAAHuuvyI=")</f>
        <v>#REF!</v>
      </c>
      <c r="AJ7" t="e">
        <f>AND(#REF!,"AAAAAHuuvyM=")</f>
        <v>#REF!</v>
      </c>
      <c r="AK7" t="e">
        <f>AND(#REF!,"AAAAAHuuvyQ=")</f>
        <v>#REF!</v>
      </c>
      <c r="AL7" t="e">
        <f>AND(#REF!,"AAAAAHuuvyU=")</f>
        <v>#REF!</v>
      </c>
      <c r="AM7" t="e">
        <f>AND(#REF!,"AAAAAHuuvyY=")</f>
        <v>#REF!</v>
      </c>
      <c r="AN7" t="e">
        <f>AND(#REF!,"AAAAAHuuvyc=")</f>
        <v>#REF!</v>
      </c>
      <c r="AO7" t="e">
        <f>AND(#REF!,"AAAAAHuuvyg=")</f>
        <v>#REF!</v>
      </c>
      <c r="AP7" t="e">
        <f>AND(#REF!,"AAAAAHuuvyk=")</f>
        <v>#REF!</v>
      </c>
      <c r="AQ7" t="e">
        <f>AND(#REF!,"AAAAAHuuvyo=")</f>
        <v>#REF!</v>
      </c>
      <c r="AR7" t="e">
        <f>AND(#REF!,"AAAAAHuuvys=")</f>
        <v>#REF!</v>
      </c>
      <c r="AS7" t="e">
        <f>AND(#REF!,"AAAAAHuuvyw=")</f>
        <v>#REF!</v>
      </c>
      <c r="AT7" t="e">
        <f>AND(#REF!,"AAAAAHuuvy0=")</f>
        <v>#REF!</v>
      </c>
      <c r="AU7" t="e">
        <f>AND(#REF!,"AAAAAHuuvy4=")</f>
        <v>#REF!</v>
      </c>
      <c r="AV7" t="e">
        <f>AND(#REF!,"AAAAAHuuvy8=")</f>
        <v>#REF!</v>
      </c>
      <c r="AW7" t="e">
        <f>AND(#REF!,"AAAAAHuuvzA=")</f>
        <v>#REF!</v>
      </c>
      <c r="AX7" t="e">
        <f>AND(#REF!,"AAAAAHuuvzE=")</f>
        <v>#REF!</v>
      </c>
      <c r="AY7" t="e">
        <f>AND(#REF!,"AAAAAHuuvzI=")</f>
        <v>#REF!</v>
      </c>
      <c r="AZ7" t="e">
        <f>AND(#REF!,"AAAAAHuuvzM=")</f>
        <v>#REF!</v>
      </c>
      <c r="BA7" t="e">
        <f>IF(#REF!,"AAAAAHuuvzQ=",0)</f>
        <v>#REF!</v>
      </c>
      <c r="BB7" t="e">
        <f>AND(#REF!,"AAAAAHuuvzU=")</f>
        <v>#REF!</v>
      </c>
      <c r="BC7" t="e">
        <f>AND(#REF!,"AAAAAHuuvzY=")</f>
        <v>#REF!</v>
      </c>
      <c r="BD7" t="e">
        <f>AND(#REF!,"AAAAAHuuvzc=")</f>
        <v>#REF!</v>
      </c>
      <c r="BE7" t="e">
        <f>AND(#REF!,"AAAAAHuuvzg=")</f>
        <v>#REF!</v>
      </c>
      <c r="BF7" t="e">
        <f>AND(#REF!,"AAAAAHuuvzk=")</f>
        <v>#REF!</v>
      </c>
      <c r="BG7" t="e">
        <f>AND(#REF!,"AAAAAHuuvzo=")</f>
        <v>#REF!</v>
      </c>
      <c r="BH7" t="e">
        <f>AND(#REF!,"AAAAAHuuvzs=")</f>
        <v>#REF!</v>
      </c>
      <c r="BI7" t="e">
        <f>AND(#REF!,"AAAAAHuuvzw=")</f>
        <v>#REF!</v>
      </c>
      <c r="BJ7" t="e">
        <f>AND(#REF!,"AAAAAHuuvz0=")</f>
        <v>#REF!</v>
      </c>
      <c r="BK7" t="e">
        <f>AND(#REF!,"AAAAAHuuvz4=")</f>
        <v>#REF!</v>
      </c>
      <c r="BL7" t="e">
        <f>AND(#REF!,"AAAAAHuuvz8=")</f>
        <v>#REF!</v>
      </c>
      <c r="BM7" t="e">
        <f>AND(#REF!,"AAAAAHuuv0A=")</f>
        <v>#REF!</v>
      </c>
      <c r="BN7" t="e">
        <f>AND(#REF!,"AAAAAHuuv0E=")</f>
        <v>#REF!</v>
      </c>
      <c r="BO7" t="e">
        <f>AND(#REF!,"AAAAAHuuv0I=")</f>
        <v>#REF!</v>
      </c>
      <c r="BP7" t="e">
        <f>AND(#REF!,"AAAAAHuuv0M=")</f>
        <v>#REF!</v>
      </c>
      <c r="BQ7" t="e">
        <f>AND(#REF!,"AAAAAHuuv0Q=")</f>
        <v>#REF!</v>
      </c>
      <c r="BR7" t="e">
        <f>AND(#REF!,"AAAAAHuuv0U=")</f>
        <v>#REF!</v>
      </c>
      <c r="BS7" t="e">
        <f>AND(#REF!,"AAAAAHuuv0Y=")</f>
        <v>#REF!</v>
      </c>
      <c r="BT7" t="e">
        <f>IF(#REF!,"AAAAAHuuv0c=",0)</f>
        <v>#REF!</v>
      </c>
      <c r="BU7" t="e">
        <f>AND(#REF!,"AAAAAHuuv0g=")</f>
        <v>#REF!</v>
      </c>
      <c r="BV7" t="e">
        <f>AND(#REF!,"AAAAAHuuv0k=")</f>
        <v>#REF!</v>
      </c>
      <c r="BW7" t="e">
        <f>AND(#REF!,"AAAAAHuuv0o=")</f>
        <v>#REF!</v>
      </c>
      <c r="BX7" t="e">
        <f>AND(#REF!,"AAAAAHuuv0s=")</f>
        <v>#REF!</v>
      </c>
      <c r="BY7" t="e">
        <f>AND(#REF!,"AAAAAHuuv0w=")</f>
        <v>#REF!</v>
      </c>
      <c r="BZ7" t="e">
        <f>AND(#REF!,"AAAAAHuuv00=")</f>
        <v>#REF!</v>
      </c>
      <c r="CA7" t="e">
        <f>AND(#REF!,"AAAAAHuuv04=")</f>
        <v>#REF!</v>
      </c>
      <c r="CB7" t="e">
        <f>AND(#REF!,"AAAAAHuuv08=")</f>
        <v>#REF!</v>
      </c>
      <c r="CC7" t="e">
        <f>AND(#REF!,"AAAAAHuuv1A=")</f>
        <v>#REF!</v>
      </c>
      <c r="CD7" t="e">
        <f>AND(#REF!,"AAAAAHuuv1E=")</f>
        <v>#REF!</v>
      </c>
      <c r="CE7" t="e">
        <f>AND(#REF!,"AAAAAHuuv1I=")</f>
        <v>#REF!</v>
      </c>
      <c r="CF7" t="e">
        <f>AND(#REF!,"AAAAAHuuv1M=")</f>
        <v>#REF!</v>
      </c>
      <c r="CG7" t="e">
        <f>AND(#REF!,"AAAAAHuuv1Q=")</f>
        <v>#REF!</v>
      </c>
      <c r="CH7" t="e">
        <f>AND(#REF!,"AAAAAHuuv1U=")</f>
        <v>#REF!</v>
      </c>
      <c r="CI7" t="e">
        <f>AND(#REF!,"AAAAAHuuv1Y=")</f>
        <v>#REF!</v>
      </c>
      <c r="CJ7" t="e">
        <f>AND(#REF!,"AAAAAHuuv1c=")</f>
        <v>#REF!</v>
      </c>
      <c r="CK7" t="e">
        <f>AND(#REF!,"AAAAAHuuv1g=")</f>
        <v>#REF!</v>
      </c>
      <c r="CL7" t="e">
        <f>AND(#REF!,"AAAAAHuuv1k=")</f>
        <v>#REF!</v>
      </c>
      <c r="CM7" t="e">
        <f>IF(#REF!,"AAAAAHuuv1o=",0)</f>
        <v>#REF!</v>
      </c>
      <c r="CN7" t="e">
        <f>AND(#REF!,"AAAAAHuuv1s=")</f>
        <v>#REF!</v>
      </c>
      <c r="CO7" t="e">
        <f>AND(#REF!,"AAAAAHuuv1w=")</f>
        <v>#REF!</v>
      </c>
      <c r="CP7" t="e">
        <f>AND(#REF!,"AAAAAHuuv10=")</f>
        <v>#REF!</v>
      </c>
      <c r="CQ7" t="e">
        <f>AND(#REF!,"AAAAAHuuv14=")</f>
        <v>#REF!</v>
      </c>
      <c r="CR7" t="e">
        <f>AND(#REF!,"AAAAAHuuv18=")</f>
        <v>#REF!</v>
      </c>
      <c r="CS7" t="e">
        <f>AND(#REF!,"AAAAAHuuv2A=")</f>
        <v>#REF!</v>
      </c>
      <c r="CT7" t="e">
        <f>AND(#REF!,"AAAAAHuuv2E=")</f>
        <v>#REF!</v>
      </c>
      <c r="CU7" t="e">
        <f>AND(#REF!,"AAAAAHuuv2I=")</f>
        <v>#REF!</v>
      </c>
      <c r="CV7" t="e">
        <f>AND(#REF!,"AAAAAHuuv2M=")</f>
        <v>#REF!</v>
      </c>
      <c r="CW7" t="e">
        <f>AND(#REF!,"AAAAAHuuv2Q=")</f>
        <v>#REF!</v>
      </c>
      <c r="CX7" t="e">
        <f>AND(#REF!,"AAAAAHuuv2U=")</f>
        <v>#REF!</v>
      </c>
      <c r="CY7" t="e">
        <f>AND(#REF!,"AAAAAHuuv2Y=")</f>
        <v>#REF!</v>
      </c>
      <c r="CZ7" t="e">
        <f>AND(#REF!,"AAAAAHuuv2c=")</f>
        <v>#REF!</v>
      </c>
      <c r="DA7" t="e">
        <f>AND(#REF!,"AAAAAHuuv2g=")</f>
        <v>#REF!</v>
      </c>
      <c r="DB7" t="e">
        <f>AND(#REF!,"AAAAAHuuv2k=")</f>
        <v>#REF!</v>
      </c>
      <c r="DC7" t="e">
        <f>AND(#REF!,"AAAAAHuuv2o=")</f>
        <v>#REF!</v>
      </c>
      <c r="DD7" t="e">
        <f>AND(#REF!,"AAAAAHuuv2s=")</f>
        <v>#REF!</v>
      </c>
      <c r="DE7" t="e">
        <f>AND(#REF!,"AAAAAHuuv2w=")</f>
        <v>#REF!</v>
      </c>
      <c r="DF7" t="e">
        <f>IF(#REF!,"AAAAAHuuv20=",0)</f>
        <v>#REF!</v>
      </c>
      <c r="DG7" t="e">
        <f>AND(#REF!,"AAAAAHuuv24=")</f>
        <v>#REF!</v>
      </c>
      <c r="DH7" t="e">
        <f>AND(#REF!,"AAAAAHuuv28=")</f>
        <v>#REF!</v>
      </c>
      <c r="DI7" t="e">
        <f>AND(#REF!,"AAAAAHuuv3A=")</f>
        <v>#REF!</v>
      </c>
      <c r="DJ7" t="e">
        <f>AND(#REF!,"AAAAAHuuv3E=")</f>
        <v>#REF!</v>
      </c>
      <c r="DK7" t="e">
        <f>AND(#REF!,"AAAAAHuuv3I=")</f>
        <v>#REF!</v>
      </c>
      <c r="DL7" t="e">
        <f>AND(#REF!,"AAAAAHuuv3M=")</f>
        <v>#REF!</v>
      </c>
      <c r="DM7" t="e">
        <f>AND(#REF!,"AAAAAHuuv3Q=")</f>
        <v>#REF!</v>
      </c>
      <c r="DN7" t="e">
        <f>AND(#REF!,"AAAAAHuuv3U=")</f>
        <v>#REF!</v>
      </c>
      <c r="DO7" t="e">
        <f>AND(#REF!,"AAAAAHuuv3Y=")</f>
        <v>#REF!</v>
      </c>
      <c r="DP7" t="e">
        <f>AND(#REF!,"AAAAAHuuv3c=")</f>
        <v>#REF!</v>
      </c>
      <c r="DQ7" t="e">
        <f>AND(#REF!,"AAAAAHuuv3g=")</f>
        <v>#REF!</v>
      </c>
      <c r="DR7" t="e">
        <f>AND(#REF!,"AAAAAHuuv3k=")</f>
        <v>#REF!</v>
      </c>
      <c r="DS7" t="e">
        <f>AND(#REF!,"AAAAAHuuv3o=")</f>
        <v>#REF!</v>
      </c>
      <c r="DT7" t="e">
        <f>AND(#REF!,"AAAAAHuuv3s=")</f>
        <v>#REF!</v>
      </c>
      <c r="DU7" t="e">
        <f>AND(#REF!,"AAAAAHuuv3w=")</f>
        <v>#REF!</v>
      </c>
      <c r="DV7" t="e">
        <f>AND(#REF!,"AAAAAHuuv30=")</f>
        <v>#REF!</v>
      </c>
      <c r="DW7" t="e">
        <f>AND(#REF!,"AAAAAHuuv34=")</f>
        <v>#REF!</v>
      </c>
      <c r="DX7" t="e">
        <f>AND(#REF!,"AAAAAHuuv38=")</f>
        <v>#REF!</v>
      </c>
      <c r="DY7" t="e">
        <f>IF(#REF!,"AAAAAHuuv4A=",0)</f>
        <v>#REF!</v>
      </c>
      <c r="DZ7" t="e">
        <f>IF(#REF!,"AAAAAHuuv4E=",0)</f>
        <v>#REF!</v>
      </c>
      <c r="EA7" t="e">
        <f>IF(#REF!,"AAAAAHuuv4I=",0)</f>
        <v>#REF!</v>
      </c>
      <c r="EB7" t="e">
        <f>IF(#REF!,"AAAAAHuuv4M=",0)</f>
        <v>#REF!</v>
      </c>
      <c r="EC7" t="e">
        <f>IF(#REF!,"AAAAAHuuv4Q=",0)</f>
        <v>#REF!</v>
      </c>
      <c r="ED7" t="e">
        <f>IF(#REF!,"AAAAAHuuv4U=",0)</f>
        <v>#REF!</v>
      </c>
      <c r="EE7" t="e">
        <f>IF(#REF!,"AAAAAHuuv4Y=",0)</f>
        <v>#REF!</v>
      </c>
      <c r="EF7" t="e">
        <f>IF(#REF!,"AAAAAHuuv4c=",0)</f>
        <v>#REF!</v>
      </c>
      <c r="EG7" t="e">
        <f>IF(#REF!,"AAAAAHuuv4g=",0)</f>
        <v>#REF!</v>
      </c>
      <c r="EH7" t="e">
        <f>IF(#REF!,"AAAAAHuuv4k=",0)</f>
        <v>#REF!</v>
      </c>
      <c r="EI7" t="e">
        <f>IF(#REF!,"AAAAAHuuv4o=",0)</f>
        <v>#REF!</v>
      </c>
      <c r="EJ7" t="e">
        <f>IF(#REF!,"AAAAAHuuv4s=",0)</f>
        <v>#REF!</v>
      </c>
      <c r="EK7" t="e">
        <f>IF(#REF!,"AAAAAHuuv4w=",0)</f>
        <v>#REF!</v>
      </c>
      <c r="EL7" t="e">
        <f>IF(#REF!,"AAAAAHuuv40=",0)</f>
        <v>#REF!</v>
      </c>
      <c r="EM7" t="e">
        <f>IF(#REF!,"AAAAAHuuv44=",0)</f>
        <v>#REF!</v>
      </c>
      <c r="EN7" t="e">
        <f>IF(#REF!,"AAAAAHuuv48=",0)</f>
        <v>#REF!</v>
      </c>
      <c r="EO7" t="e">
        <f>IF(#REF!,"AAAAAHuuv5A=",0)</f>
        <v>#REF!</v>
      </c>
      <c r="EP7" t="e">
        <f>IF(#REF!,"AAAAAHuuv5E=",0)</f>
        <v>#REF!</v>
      </c>
      <c r="EQ7" t="e">
        <f>IF(#REF!,"AAAAAHuuv5I=",0)</f>
        <v>#REF!</v>
      </c>
      <c r="ER7" t="e">
        <f>IF(#REF!,"AAAAAHuuv5M=",0)</f>
        <v>#REF!</v>
      </c>
      <c r="ES7" t="e">
        <f>AND(#REF!,"AAAAAHuuv5Q=")</f>
        <v>#REF!</v>
      </c>
      <c r="ET7" t="e">
        <f>AND(#REF!,"AAAAAHuuv5U=")</f>
        <v>#REF!</v>
      </c>
      <c r="EU7" t="e">
        <f>AND(#REF!,"AAAAAHuuv5Y=")</f>
        <v>#REF!</v>
      </c>
      <c r="EV7" t="e">
        <f>AND(#REF!,"AAAAAHuuv5c=")</f>
        <v>#REF!</v>
      </c>
      <c r="EW7" t="e">
        <f>AND(#REF!,"AAAAAHuuv5g=")</f>
        <v>#REF!</v>
      </c>
      <c r="EX7" t="e">
        <f>AND(#REF!,"AAAAAHuuv5k=")</f>
        <v>#REF!</v>
      </c>
      <c r="EY7" t="e">
        <f>AND(#REF!,"AAAAAHuuv5o=")</f>
        <v>#REF!</v>
      </c>
      <c r="EZ7" t="e">
        <f>AND(#REF!,"AAAAAHuuv5s=")</f>
        <v>#REF!</v>
      </c>
      <c r="FA7" t="e">
        <f>AND(#REF!,"AAAAAHuuv5w=")</f>
        <v>#REF!</v>
      </c>
      <c r="FB7" t="e">
        <f>AND(#REF!,"AAAAAHuuv50=")</f>
        <v>#REF!</v>
      </c>
      <c r="FC7" t="e">
        <f>AND(#REF!,"AAAAAHuuv54=")</f>
        <v>#REF!</v>
      </c>
      <c r="FD7" t="e">
        <f>AND(#REF!,"AAAAAHuuv58=")</f>
        <v>#REF!</v>
      </c>
      <c r="FE7" t="e">
        <f>AND(#REF!,"AAAAAHuuv6A=")</f>
        <v>#REF!</v>
      </c>
      <c r="FF7" t="e">
        <f>IF(#REF!,"AAAAAHuuv6E=",0)</f>
        <v>#REF!</v>
      </c>
      <c r="FG7" t="e">
        <f>AND(#REF!,"AAAAAHuuv6I=")</f>
        <v>#REF!</v>
      </c>
      <c r="FH7" t="e">
        <f>AND(#REF!,"AAAAAHuuv6M=")</f>
        <v>#REF!</v>
      </c>
      <c r="FI7" t="e">
        <f>AND(#REF!,"AAAAAHuuv6Q=")</f>
        <v>#REF!</v>
      </c>
      <c r="FJ7" t="e">
        <f>AND(#REF!,"AAAAAHuuv6U=")</f>
        <v>#REF!</v>
      </c>
      <c r="FK7" t="e">
        <f>AND(#REF!,"AAAAAHuuv6Y=")</f>
        <v>#REF!</v>
      </c>
      <c r="FL7" t="e">
        <f>AND(#REF!,"AAAAAHuuv6c=")</f>
        <v>#REF!</v>
      </c>
      <c r="FM7" t="e">
        <f>AND(#REF!,"AAAAAHuuv6g=")</f>
        <v>#REF!</v>
      </c>
      <c r="FN7" t="e">
        <f>AND(#REF!,"AAAAAHuuv6k=")</f>
        <v>#REF!</v>
      </c>
      <c r="FO7" t="e">
        <f>AND(#REF!,"AAAAAHuuv6o=")</f>
        <v>#REF!</v>
      </c>
      <c r="FP7" t="e">
        <f>AND(#REF!,"AAAAAHuuv6s=")</f>
        <v>#REF!</v>
      </c>
      <c r="FQ7" t="e">
        <f>AND(#REF!,"AAAAAHuuv6w=")</f>
        <v>#REF!</v>
      </c>
      <c r="FR7" t="e">
        <f>AND(#REF!,"AAAAAHuuv60=")</f>
        <v>#REF!</v>
      </c>
      <c r="FS7" t="e">
        <f>AND(#REF!,"AAAAAHuuv64=")</f>
        <v>#REF!</v>
      </c>
      <c r="FT7" t="e">
        <f>IF(#REF!,"AAAAAHuuv68=",0)</f>
        <v>#REF!</v>
      </c>
      <c r="FU7" t="e">
        <f>AND(#REF!,"AAAAAHuuv7A=")</f>
        <v>#REF!</v>
      </c>
      <c r="FV7" t="e">
        <f>AND(#REF!,"AAAAAHuuv7E=")</f>
        <v>#REF!</v>
      </c>
      <c r="FW7" t="e">
        <f>AND(#REF!,"AAAAAHuuv7I=")</f>
        <v>#REF!</v>
      </c>
      <c r="FX7" t="e">
        <f>AND(#REF!,"AAAAAHuuv7M=")</f>
        <v>#REF!</v>
      </c>
      <c r="FY7" t="e">
        <f>AND(#REF!,"AAAAAHuuv7Q=")</f>
        <v>#REF!</v>
      </c>
      <c r="FZ7" t="e">
        <f>AND(#REF!,"AAAAAHuuv7U=")</f>
        <v>#REF!</v>
      </c>
      <c r="GA7" t="e">
        <f>AND(#REF!,"AAAAAHuuv7Y=")</f>
        <v>#REF!</v>
      </c>
      <c r="GB7" t="e">
        <f>AND(#REF!,"AAAAAHuuv7c=")</f>
        <v>#REF!</v>
      </c>
      <c r="GC7" t="e">
        <f>AND(#REF!,"AAAAAHuuv7g=")</f>
        <v>#REF!</v>
      </c>
      <c r="GD7" t="e">
        <f>AND(#REF!,"AAAAAHuuv7k=")</f>
        <v>#REF!</v>
      </c>
      <c r="GE7" t="e">
        <f>AND(#REF!,"AAAAAHuuv7o=")</f>
        <v>#REF!</v>
      </c>
      <c r="GF7" t="e">
        <f>AND(#REF!,"AAAAAHuuv7s=")</f>
        <v>#REF!</v>
      </c>
      <c r="GG7" t="e">
        <f>AND(#REF!,"AAAAAHuuv7w=")</f>
        <v>#REF!</v>
      </c>
      <c r="GH7" t="e">
        <f>IF(#REF!,"AAAAAHuuv70=",0)</f>
        <v>#REF!</v>
      </c>
      <c r="GI7" t="e">
        <f>AND(#REF!,"AAAAAHuuv74=")</f>
        <v>#REF!</v>
      </c>
      <c r="GJ7" t="e">
        <f>AND(#REF!,"AAAAAHuuv78=")</f>
        <v>#REF!</v>
      </c>
      <c r="GK7" t="e">
        <f>AND(#REF!,"AAAAAHuuv8A=")</f>
        <v>#REF!</v>
      </c>
      <c r="GL7" t="e">
        <f>AND(#REF!,"AAAAAHuuv8E=")</f>
        <v>#REF!</v>
      </c>
      <c r="GM7" t="e">
        <f>AND(#REF!,"AAAAAHuuv8I=")</f>
        <v>#REF!</v>
      </c>
      <c r="GN7" t="e">
        <f>AND(#REF!,"AAAAAHuuv8M=")</f>
        <v>#REF!</v>
      </c>
      <c r="GO7" t="e">
        <f>AND(#REF!,"AAAAAHuuv8Q=")</f>
        <v>#REF!</v>
      </c>
      <c r="GP7" t="e">
        <f>AND(#REF!,"AAAAAHuuv8U=")</f>
        <v>#REF!</v>
      </c>
      <c r="GQ7" t="e">
        <f>AND(#REF!,"AAAAAHuuv8Y=")</f>
        <v>#REF!</v>
      </c>
      <c r="GR7" t="e">
        <f>AND(#REF!,"AAAAAHuuv8c=")</f>
        <v>#REF!</v>
      </c>
      <c r="GS7" t="e">
        <f>AND(#REF!,"AAAAAHuuv8g=")</f>
        <v>#REF!</v>
      </c>
      <c r="GT7" t="e">
        <f>AND(#REF!,"AAAAAHuuv8k=")</f>
        <v>#REF!</v>
      </c>
      <c r="GU7" t="e">
        <f>AND(#REF!,"AAAAAHuuv8o=")</f>
        <v>#REF!</v>
      </c>
      <c r="GV7" t="e">
        <f>IF(#REF!,"AAAAAHuuv8s=",0)</f>
        <v>#REF!</v>
      </c>
      <c r="GW7" t="e">
        <f>AND(#REF!,"AAAAAHuuv8w=")</f>
        <v>#REF!</v>
      </c>
      <c r="GX7" t="e">
        <f>AND(#REF!,"AAAAAHuuv80=")</f>
        <v>#REF!</v>
      </c>
      <c r="GY7" t="e">
        <f>AND(#REF!,"AAAAAHuuv84=")</f>
        <v>#REF!</v>
      </c>
      <c r="GZ7" t="e">
        <f>AND(#REF!,"AAAAAHuuv88=")</f>
        <v>#REF!</v>
      </c>
      <c r="HA7" t="e">
        <f>AND(#REF!,"AAAAAHuuv9A=")</f>
        <v>#REF!</v>
      </c>
      <c r="HB7" t="e">
        <f>AND(#REF!,"AAAAAHuuv9E=")</f>
        <v>#REF!</v>
      </c>
      <c r="HC7" t="e">
        <f>AND(#REF!,"AAAAAHuuv9I=")</f>
        <v>#REF!</v>
      </c>
      <c r="HD7" t="e">
        <f>AND(#REF!,"AAAAAHuuv9M=")</f>
        <v>#REF!</v>
      </c>
      <c r="HE7" t="e">
        <f>AND(#REF!,"AAAAAHuuv9Q=")</f>
        <v>#REF!</v>
      </c>
      <c r="HF7" t="e">
        <f>AND(#REF!,"AAAAAHuuv9U=")</f>
        <v>#REF!</v>
      </c>
      <c r="HG7" t="e">
        <f>AND(#REF!,"AAAAAHuuv9Y=")</f>
        <v>#REF!</v>
      </c>
      <c r="HH7" t="e">
        <f>AND(#REF!,"AAAAAHuuv9c=")</f>
        <v>#REF!</v>
      </c>
      <c r="HI7" t="e">
        <f>AND(#REF!,"AAAAAHuuv9g=")</f>
        <v>#REF!</v>
      </c>
      <c r="HJ7" t="e">
        <f>IF(#REF!,"AAAAAHuuv9k=",0)</f>
        <v>#REF!</v>
      </c>
      <c r="HK7" t="e">
        <f>AND(#REF!,"AAAAAHuuv9o=")</f>
        <v>#REF!</v>
      </c>
      <c r="HL7" t="e">
        <f>AND(#REF!,"AAAAAHuuv9s=")</f>
        <v>#REF!</v>
      </c>
      <c r="HM7" t="e">
        <f>AND(#REF!,"AAAAAHuuv9w=")</f>
        <v>#REF!</v>
      </c>
      <c r="HN7" t="e">
        <f>AND(#REF!,"AAAAAHuuv90=")</f>
        <v>#REF!</v>
      </c>
      <c r="HO7" t="e">
        <f>AND(#REF!,"AAAAAHuuv94=")</f>
        <v>#REF!</v>
      </c>
      <c r="HP7" t="e">
        <f>AND(#REF!,"AAAAAHuuv98=")</f>
        <v>#REF!</v>
      </c>
      <c r="HQ7" t="e">
        <f>AND(#REF!,"AAAAAHuuv+A=")</f>
        <v>#REF!</v>
      </c>
      <c r="HR7" t="e">
        <f>AND(#REF!,"AAAAAHuuv+E=")</f>
        <v>#REF!</v>
      </c>
      <c r="HS7" t="e">
        <f>AND(#REF!,"AAAAAHuuv+I=")</f>
        <v>#REF!</v>
      </c>
      <c r="HT7" t="e">
        <f>AND(#REF!,"AAAAAHuuv+M=")</f>
        <v>#REF!</v>
      </c>
      <c r="HU7" t="e">
        <f>AND(#REF!,"AAAAAHuuv+Q=")</f>
        <v>#REF!</v>
      </c>
      <c r="HV7" t="e">
        <f>AND(#REF!,"AAAAAHuuv+U=")</f>
        <v>#REF!</v>
      </c>
      <c r="HW7" t="e">
        <f>AND(#REF!,"AAAAAHuuv+Y=")</f>
        <v>#REF!</v>
      </c>
      <c r="HX7" t="e">
        <f>IF(#REF!,"AAAAAHuuv+c=",0)</f>
        <v>#REF!</v>
      </c>
      <c r="HY7" t="e">
        <f>AND(#REF!,"AAAAAHuuv+g=")</f>
        <v>#REF!</v>
      </c>
      <c r="HZ7" t="e">
        <f>AND(#REF!,"AAAAAHuuv+k=")</f>
        <v>#REF!</v>
      </c>
      <c r="IA7" t="e">
        <f>AND(#REF!,"AAAAAHuuv+o=")</f>
        <v>#REF!</v>
      </c>
      <c r="IB7" t="e">
        <f>AND(#REF!,"AAAAAHuuv+s=")</f>
        <v>#REF!</v>
      </c>
      <c r="IC7" t="e">
        <f>AND(#REF!,"AAAAAHuuv+w=")</f>
        <v>#REF!</v>
      </c>
      <c r="ID7" t="e">
        <f>AND(#REF!,"AAAAAHuuv+0=")</f>
        <v>#REF!</v>
      </c>
      <c r="IE7" t="e">
        <f>AND(#REF!,"AAAAAHuuv+4=")</f>
        <v>#REF!</v>
      </c>
      <c r="IF7" t="e">
        <f>AND(#REF!,"AAAAAHuuv+8=")</f>
        <v>#REF!</v>
      </c>
      <c r="IG7" t="e">
        <f>AND(#REF!,"AAAAAHuuv/A=")</f>
        <v>#REF!</v>
      </c>
      <c r="IH7" t="e">
        <f>AND(#REF!,"AAAAAHuuv/E=")</f>
        <v>#REF!</v>
      </c>
      <c r="II7" t="e">
        <f>AND(#REF!,"AAAAAHuuv/I=")</f>
        <v>#REF!</v>
      </c>
      <c r="IJ7" t="e">
        <f>AND(#REF!,"AAAAAHuuv/M=")</f>
        <v>#REF!</v>
      </c>
      <c r="IK7" t="e">
        <f>AND(#REF!,"AAAAAHuuv/Q=")</f>
        <v>#REF!</v>
      </c>
      <c r="IL7" t="e">
        <f>IF(#REF!,"AAAAAHuuv/U=",0)</f>
        <v>#REF!</v>
      </c>
      <c r="IM7" t="e">
        <f>AND(#REF!,"AAAAAHuuv/Y=")</f>
        <v>#REF!</v>
      </c>
      <c r="IN7" t="e">
        <f>AND(#REF!,"AAAAAHuuv/c=")</f>
        <v>#REF!</v>
      </c>
      <c r="IO7" t="e">
        <f>AND(#REF!,"AAAAAHuuv/g=")</f>
        <v>#REF!</v>
      </c>
      <c r="IP7" t="e">
        <f>AND(#REF!,"AAAAAHuuv/k=")</f>
        <v>#REF!</v>
      </c>
      <c r="IQ7" t="e">
        <f>AND(#REF!,"AAAAAHuuv/o=")</f>
        <v>#REF!</v>
      </c>
      <c r="IR7" t="e">
        <f>AND(#REF!,"AAAAAHuuv/s=")</f>
        <v>#REF!</v>
      </c>
      <c r="IS7" t="e">
        <f>AND(#REF!,"AAAAAHuuv/w=")</f>
        <v>#REF!</v>
      </c>
      <c r="IT7" t="e">
        <f>AND(#REF!,"AAAAAHuuv/0=")</f>
        <v>#REF!</v>
      </c>
      <c r="IU7" t="e">
        <f>AND(#REF!,"AAAAAHuuv/4=")</f>
        <v>#REF!</v>
      </c>
      <c r="IV7" t="e">
        <f>AND(#REF!,"AAAAAHuuv/8=")</f>
        <v>#REF!</v>
      </c>
    </row>
    <row r="8" spans="1:256">
      <c r="A8" t="e">
        <f>AND(#REF!,"AAAAAF7S9AA=")</f>
        <v>#REF!</v>
      </c>
      <c r="B8" t="e">
        <f>AND(#REF!,"AAAAAF7S9AE=")</f>
        <v>#REF!</v>
      </c>
      <c r="C8" t="e">
        <f>AND(#REF!,"AAAAAF7S9AI=")</f>
        <v>#REF!</v>
      </c>
      <c r="D8" t="e">
        <f>IF(#REF!,"AAAAAF7S9AM=",0)</f>
        <v>#REF!</v>
      </c>
      <c r="E8" t="e">
        <f>AND(#REF!,"AAAAAF7S9AQ=")</f>
        <v>#REF!</v>
      </c>
      <c r="F8" t="e">
        <f>AND(#REF!,"AAAAAF7S9AU=")</f>
        <v>#REF!</v>
      </c>
      <c r="G8" t="e">
        <f>AND(#REF!,"AAAAAF7S9AY=")</f>
        <v>#REF!</v>
      </c>
      <c r="H8" t="e">
        <f>AND(#REF!,"AAAAAF7S9Ac=")</f>
        <v>#REF!</v>
      </c>
      <c r="I8" t="e">
        <f>AND(#REF!,"AAAAAF7S9Ag=")</f>
        <v>#REF!</v>
      </c>
      <c r="J8" t="e">
        <f>AND(#REF!,"AAAAAF7S9Ak=")</f>
        <v>#REF!</v>
      </c>
      <c r="K8" t="e">
        <f>AND(#REF!,"AAAAAF7S9Ao=")</f>
        <v>#REF!</v>
      </c>
      <c r="L8" t="e">
        <f>AND(#REF!,"AAAAAF7S9As=")</f>
        <v>#REF!</v>
      </c>
      <c r="M8" t="e">
        <f>AND(#REF!,"AAAAAF7S9Aw=")</f>
        <v>#REF!</v>
      </c>
      <c r="N8" t="e">
        <f>AND(#REF!,"AAAAAF7S9A0=")</f>
        <v>#REF!</v>
      </c>
      <c r="O8" t="e">
        <f>AND(#REF!,"AAAAAF7S9A4=")</f>
        <v>#REF!</v>
      </c>
      <c r="P8" t="e">
        <f>AND(#REF!,"AAAAAF7S9A8=")</f>
        <v>#REF!</v>
      </c>
      <c r="Q8" t="e">
        <f>AND(#REF!,"AAAAAF7S9BA=")</f>
        <v>#REF!</v>
      </c>
      <c r="R8" t="e">
        <f>IF(#REF!,"AAAAAF7S9BE=",0)</f>
        <v>#REF!</v>
      </c>
      <c r="S8" t="e">
        <f>AND(#REF!,"AAAAAF7S9BI=")</f>
        <v>#REF!</v>
      </c>
      <c r="T8" t="e">
        <f>AND(#REF!,"AAAAAF7S9BM=")</f>
        <v>#REF!</v>
      </c>
      <c r="U8" t="e">
        <f>AND(#REF!,"AAAAAF7S9BQ=")</f>
        <v>#REF!</v>
      </c>
      <c r="V8" t="e">
        <f>AND(#REF!,"AAAAAF7S9BU=")</f>
        <v>#REF!</v>
      </c>
      <c r="W8" t="e">
        <f>AND(#REF!,"AAAAAF7S9BY=")</f>
        <v>#REF!</v>
      </c>
      <c r="X8" t="e">
        <f>AND(#REF!,"AAAAAF7S9Bc=")</f>
        <v>#REF!</v>
      </c>
      <c r="Y8" t="e">
        <f>AND(#REF!,"AAAAAF7S9Bg=")</f>
        <v>#REF!</v>
      </c>
      <c r="Z8" t="e">
        <f>AND(#REF!,"AAAAAF7S9Bk=")</f>
        <v>#REF!</v>
      </c>
      <c r="AA8" t="e">
        <f>AND(#REF!,"AAAAAF7S9Bo=")</f>
        <v>#REF!</v>
      </c>
      <c r="AB8" t="e">
        <f>AND(#REF!,"AAAAAF7S9Bs=")</f>
        <v>#REF!</v>
      </c>
      <c r="AC8" t="e">
        <f>AND(#REF!,"AAAAAF7S9Bw=")</f>
        <v>#REF!</v>
      </c>
      <c r="AD8" t="e">
        <f>AND(#REF!,"AAAAAF7S9B0=")</f>
        <v>#REF!</v>
      </c>
      <c r="AE8" t="e">
        <f>AND(#REF!,"AAAAAF7S9B4=")</f>
        <v>#REF!</v>
      </c>
      <c r="AF8" t="e">
        <f>IF(#REF!,"AAAAAF7S9B8=",0)</f>
        <v>#REF!</v>
      </c>
      <c r="AG8" t="e">
        <f>AND(#REF!,"AAAAAF7S9CA=")</f>
        <v>#REF!</v>
      </c>
      <c r="AH8" t="e">
        <f>AND(#REF!,"AAAAAF7S9CE=")</f>
        <v>#REF!</v>
      </c>
      <c r="AI8" t="e">
        <f>AND(#REF!,"AAAAAF7S9CI=")</f>
        <v>#REF!</v>
      </c>
      <c r="AJ8" t="e">
        <f>AND(#REF!,"AAAAAF7S9CM=")</f>
        <v>#REF!</v>
      </c>
      <c r="AK8" t="e">
        <f>AND(#REF!,"AAAAAF7S9CQ=")</f>
        <v>#REF!</v>
      </c>
      <c r="AL8" t="e">
        <f>AND(#REF!,"AAAAAF7S9CU=")</f>
        <v>#REF!</v>
      </c>
      <c r="AM8" t="e">
        <f>AND(#REF!,"AAAAAF7S9CY=")</f>
        <v>#REF!</v>
      </c>
      <c r="AN8" t="e">
        <f>AND(#REF!,"AAAAAF7S9Cc=")</f>
        <v>#REF!</v>
      </c>
      <c r="AO8" t="e">
        <f>AND(#REF!,"AAAAAF7S9Cg=")</f>
        <v>#REF!</v>
      </c>
      <c r="AP8" t="e">
        <f>AND(#REF!,"AAAAAF7S9Ck=")</f>
        <v>#REF!</v>
      </c>
      <c r="AQ8" t="e">
        <f>AND(#REF!,"AAAAAF7S9Co=")</f>
        <v>#REF!</v>
      </c>
      <c r="AR8" t="e">
        <f>AND(#REF!,"AAAAAF7S9Cs=")</f>
        <v>#REF!</v>
      </c>
      <c r="AS8" t="e">
        <f>AND(#REF!,"AAAAAF7S9Cw=")</f>
        <v>#REF!</v>
      </c>
      <c r="AT8" t="e">
        <f>IF(#REF!,"AAAAAF7S9C0=",0)</f>
        <v>#REF!</v>
      </c>
      <c r="AU8" t="e">
        <f>AND(#REF!,"AAAAAF7S9C4=")</f>
        <v>#REF!</v>
      </c>
      <c r="AV8" t="e">
        <f>AND(#REF!,"AAAAAF7S9C8=")</f>
        <v>#REF!</v>
      </c>
      <c r="AW8" t="e">
        <f>AND(#REF!,"AAAAAF7S9DA=")</f>
        <v>#REF!</v>
      </c>
      <c r="AX8" t="e">
        <f>AND(#REF!,"AAAAAF7S9DE=")</f>
        <v>#REF!</v>
      </c>
      <c r="AY8" t="e">
        <f>AND(#REF!,"AAAAAF7S9DI=")</f>
        <v>#REF!</v>
      </c>
      <c r="AZ8" t="e">
        <f>AND(#REF!,"AAAAAF7S9DM=")</f>
        <v>#REF!</v>
      </c>
      <c r="BA8" t="e">
        <f>AND(#REF!,"AAAAAF7S9DQ=")</f>
        <v>#REF!</v>
      </c>
      <c r="BB8" t="e">
        <f>AND(#REF!,"AAAAAF7S9DU=")</f>
        <v>#REF!</v>
      </c>
      <c r="BC8" t="e">
        <f>AND(#REF!,"AAAAAF7S9DY=")</f>
        <v>#REF!</v>
      </c>
      <c r="BD8" t="e">
        <f>AND(#REF!,"AAAAAF7S9Dc=")</f>
        <v>#REF!</v>
      </c>
      <c r="BE8" t="e">
        <f>AND(#REF!,"AAAAAF7S9Dg=")</f>
        <v>#REF!</v>
      </c>
      <c r="BF8" t="e">
        <f>AND(#REF!,"AAAAAF7S9Dk=")</f>
        <v>#REF!</v>
      </c>
      <c r="BG8" t="e">
        <f>AND(#REF!,"AAAAAF7S9Do=")</f>
        <v>#REF!</v>
      </c>
      <c r="BH8" t="e">
        <f>IF(#REF!,"AAAAAF7S9Ds=",0)</f>
        <v>#REF!</v>
      </c>
      <c r="BI8" t="e">
        <f>AND(#REF!,"AAAAAF7S9Dw=")</f>
        <v>#REF!</v>
      </c>
      <c r="BJ8" t="e">
        <f>AND(#REF!,"AAAAAF7S9D0=")</f>
        <v>#REF!</v>
      </c>
      <c r="BK8" t="e">
        <f>AND(#REF!,"AAAAAF7S9D4=")</f>
        <v>#REF!</v>
      </c>
      <c r="BL8" t="e">
        <f>AND(#REF!,"AAAAAF7S9D8=")</f>
        <v>#REF!</v>
      </c>
      <c r="BM8" t="e">
        <f>AND(#REF!,"AAAAAF7S9EA=")</f>
        <v>#REF!</v>
      </c>
      <c r="BN8" t="e">
        <f>AND(#REF!,"AAAAAF7S9EE=")</f>
        <v>#REF!</v>
      </c>
      <c r="BO8" t="e">
        <f>AND(#REF!,"AAAAAF7S9EI=")</f>
        <v>#REF!</v>
      </c>
      <c r="BP8" t="e">
        <f>AND(#REF!,"AAAAAF7S9EM=")</f>
        <v>#REF!</v>
      </c>
      <c r="BQ8" t="e">
        <f>AND(#REF!,"AAAAAF7S9EQ=")</f>
        <v>#REF!</v>
      </c>
      <c r="BR8" t="e">
        <f>AND(#REF!,"AAAAAF7S9EU=")</f>
        <v>#REF!</v>
      </c>
      <c r="BS8" t="e">
        <f>AND(#REF!,"AAAAAF7S9EY=")</f>
        <v>#REF!</v>
      </c>
      <c r="BT8" t="e">
        <f>AND(#REF!,"AAAAAF7S9Ec=")</f>
        <v>#REF!</v>
      </c>
      <c r="BU8" t="e">
        <f>AND(#REF!,"AAAAAF7S9Eg=")</f>
        <v>#REF!</v>
      </c>
      <c r="BV8" t="e">
        <f>IF(#REF!,"AAAAAF7S9Ek=",0)</f>
        <v>#REF!</v>
      </c>
      <c r="BW8" t="e">
        <f>AND(#REF!,"AAAAAF7S9Eo=")</f>
        <v>#REF!</v>
      </c>
      <c r="BX8" t="e">
        <f>AND(#REF!,"AAAAAF7S9Es=")</f>
        <v>#REF!</v>
      </c>
      <c r="BY8" t="e">
        <f>AND(#REF!,"AAAAAF7S9Ew=")</f>
        <v>#REF!</v>
      </c>
      <c r="BZ8" t="e">
        <f>AND(#REF!,"AAAAAF7S9E0=")</f>
        <v>#REF!</v>
      </c>
      <c r="CA8" t="e">
        <f>AND(#REF!,"AAAAAF7S9E4=")</f>
        <v>#REF!</v>
      </c>
      <c r="CB8" t="e">
        <f>AND(#REF!,"AAAAAF7S9E8=")</f>
        <v>#REF!</v>
      </c>
      <c r="CC8" t="e">
        <f>AND(#REF!,"AAAAAF7S9FA=")</f>
        <v>#REF!</v>
      </c>
      <c r="CD8" t="e">
        <f>AND(#REF!,"AAAAAF7S9FE=")</f>
        <v>#REF!</v>
      </c>
      <c r="CE8" t="e">
        <f>AND(#REF!,"AAAAAF7S9FI=")</f>
        <v>#REF!</v>
      </c>
      <c r="CF8" t="e">
        <f>AND(#REF!,"AAAAAF7S9FM=")</f>
        <v>#REF!</v>
      </c>
      <c r="CG8" t="e">
        <f>AND(#REF!,"AAAAAF7S9FQ=")</f>
        <v>#REF!</v>
      </c>
      <c r="CH8" t="e">
        <f>AND(#REF!,"AAAAAF7S9FU=")</f>
        <v>#REF!</v>
      </c>
      <c r="CI8" t="e">
        <f>AND(#REF!,"AAAAAF7S9FY=")</f>
        <v>#REF!</v>
      </c>
      <c r="CJ8" t="e">
        <f>IF(#REF!,"AAAAAF7S9Fc=",0)</f>
        <v>#REF!</v>
      </c>
      <c r="CK8" t="e">
        <f>AND(#REF!,"AAAAAF7S9Fg=")</f>
        <v>#REF!</v>
      </c>
      <c r="CL8" t="e">
        <f>AND(#REF!,"AAAAAF7S9Fk=")</f>
        <v>#REF!</v>
      </c>
      <c r="CM8" t="e">
        <f>AND(#REF!,"AAAAAF7S9Fo=")</f>
        <v>#REF!</v>
      </c>
      <c r="CN8" t="e">
        <f>AND(#REF!,"AAAAAF7S9Fs=")</f>
        <v>#REF!</v>
      </c>
      <c r="CO8" t="e">
        <f>AND(#REF!,"AAAAAF7S9Fw=")</f>
        <v>#REF!</v>
      </c>
      <c r="CP8" t="e">
        <f>AND(#REF!,"AAAAAF7S9F0=")</f>
        <v>#REF!</v>
      </c>
      <c r="CQ8" t="e">
        <f>AND(#REF!,"AAAAAF7S9F4=")</f>
        <v>#REF!</v>
      </c>
      <c r="CR8" t="e">
        <f>AND(#REF!,"AAAAAF7S9F8=")</f>
        <v>#REF!</v>
      </c>
      <c r="CS8" t="e">
        <f>AND(#REF!,"AAAAAF7S9GA=")</f>
        <v>#REF!</v>
      </c>
      <c r="CT8" t="e">
        <f>AND(#REF!,"AAAAAF7S9GE=")</f>
        <v>#REF!</v>
      </c>
      <c r="CU8" t="e">
        <f>AND(#REF!,"AAAAAF7S9GI=")</f>
        <v>#REF!</v>
      </c>
      <c r="CV8" t="e">
        <f>AND(#REF!,"AAAAAF7S9GM=")</f>
        <v>#REF!</v>
      </c>
      <c r="CW8" t="e">
        <f>AND(#REF!,"AAAAAF7S9GQ=")</f>
        <v>#REF!</v>
      </c>
      <c r="CX8" t="e">
        <f>IF(#REF!,"AAAAAF7S9GU=",0)</f>
        <v>#REF!</v>
      </c>
      <c r="CY8" t="e">
        <f>AND(#REF!,"AAAAAF7S9GY=")</f>
        <v>#REF!</v>
      </c>
      <c r="CZ8" t="e">
        <f>AND(#REF!,"AAAAAF7S9Gc=")</f>
        <v>#REF!</v>
      </c>
      <c r="DA8" t="e">
        <f>AND(#REF!,"AAAAAF7S9Gg=")</f>
        <v>#REF!</v>
      </c>
      <c r="DB8" t="e">
        <f>AND(#REF!,"AAAAAF7S9Gk=")</f>
        <v>#REF!</v>
      </c>
      <c r="DC8" t="e">
        <f>AND(#REF!,"AAAAAF7S9Go=")</f>
        <v>#REF!</v>
      </c>
      <c r="DD8" t="e">
        <f>AND(#REF!,"AAAAAF7S9Gs=")</f>
        <v>#REF!</v>
      </c>
      <c r="DE8" t="e">
        <f>AND(#REF!,"AAAAAF7S9Gw=")</f>
        <v>#REF!</v>
      </c>
      <c r="DF8" t="e">
        <f>AND(#REF!,"AAAAAF7S9G0=")</f>
        <v>#REF!</v>
      </c>
      <c r="DG8" t="e">
        <f>AND(#REF!,"AAAAAF7S9G4=")</f>
        <v>#REF!</v>
      </c>
      <c r="DH8" t="e">
        <f>AND(#REF!,"AAAAAF7S9G8=")</f>
        <v>#REF!</v>
      </c>
      <c r="DI8" t="e">
        <f>AND(#REF!,"AAAAAF7S9HA=")</f>
        <v>#REF!</v>
      </c>
      <c r="DJ8" t="e">
        <f>AND(#REF!,"AAAAAF7S9HE=")</f>
        <v>#REF!</v>
      </c>
      <c r="DK8" t="e">
        <f>AND(#REF!,"AAAAAF7S9HI=")</f>
        <v>#REF!</v>
      </c>
      <c r="DL8" t="e">
        <f>IF(#REF!,"AAAAAF7S9HM=",0)</f>
        <v>#REF!</v>
      </c>
      <c r="DM8" t="e">
        <f>AND(#REF!,"AAAAAF7S9HQ=")</f>
        <v>#REF!</v>
      </c>
      <c r="DN8" t="e">
        <f>AND(#REF!,"AAAAAF7S9HU=")</f>
        <v>#REF!</v>
      </c>
      <c r="DO8" t="e">
        <f>AND(#REF!,"AAAAAF7S9HY=")</f>
        <v>#REF!</v>
      </c>
      <c r="DP8" t="e">
        <f>AND(#REF!,"AAAAAF7S9Hc=")</f>
        <v>#REF!</v>
      </c>
      <c r="DQ8" t="e">
        <f>AND(#REF!,"AAAAAF7S9Hg=")</f>
        <v>#REF!</v>
      </c>
      <c r="DR8" t="e">
        <f>AND(#REF!,"AAAAAF7S9Hk=")</f>
        <v>#REF!</v>
      </c>
      <c r="DS8" t="e">
        <f>AND(#REF!,"AAAAAF7S9Ho=")</f>
        <v>#REF!</v>
      </c>
      <c r="DT8" t="e">
        <f>AND(#REF!,"AAAAAF7S9Hs=")</f>
        <v>#REF!</v>
      </c>
      <c r="DU8" t="e">
        <f>AND(#REF!,"AAAAAF7S9Hw=")</f>
        <v>#REF!</v>
      </c>
      <c r="DV8" t="e">
        <f>AND(#REF!,"AAAAAF7S9H0=")</f>
        <v>#REF!</v>
      </c>
      <c r="DW8" t="e">
        <f>AND(#REF!,"AAAAAF7S9H4=")</f>
        <v>#REF!</v>
      </c>
      <c r="DX8" t="e">
        <f>AND(#REF!,"AAAAAF7S9H8=")</f>
        <v>#REF!</v>
      </c>
      <c r="DY8" t="e">
        <f>AND(#REF!,"AAAAAF7S9IA=")</f>
        <v>#REF!</v>
      </c>
      <c r="DZ8" t="e">
        <f>IF(#REF!,"AAAAAF7S9IE=",0)</f>
        <v>#REF!</v>
      </c>
      <c r="EA8" t="e">
        <f>AND(#REF!,"AAAAAF7S9II=")</f>
        <v>#REF!</v>
      </c>
      <c r="EB8" t="e">
        <f>AND(#REF!,"AAAAAF7S9IM=")</f>
        <v>#REF!</v>
      </c>
      <c r="EC8" t="e">
        <f>AND(#REF!,"AAAAAF7S9IQ=")</f>
        <v>#REF!</v>
      </c>
      <c r="ED8" t="e">
        <f>AND(#REF!,"AAAAAF7S9IU=")</f>
        <v>#REF!</v>
      </c>
      <c r="EE8" t="e">
        <f>AND(#REF!,"AAAAAF7S9IY=")</f>
        <v>#REF!</v>
      </c>
      <c r="EF8" t="e">
        <f>AND(#REF!,"AAAAAF7S9Ic=")</f>
        <v>#REF!</v>
      </c>
      <c r="EG8" t="e">
        <f>AND(#REF!,"AAAAAF7S9Ig=")</f>
        <v>#REF!</v>
      </c>
      <c r="EH8" t="e">
        <f>AND(#REF!,"AAAAAF7S9Ik=")</f>
        <v>#REF!</v>
      </c>
      <c r="EI8" t="e">
        <f>AND(#REF!,"AAAAAF7S9Io=")</f>
        <v>#REF!</v>
      </c>
      <c r="EJ8" t="e">
        <f>AND(#REF!,"AAAAAF7S9Is=")</f>
        <v>#REF!</v>
      </c>
      <c r="EK8" t="e">
        <f>AND(#REF!,"AAAAAF7S9Iw=")</f>
        <v>#REF!</v>
      </c>
      <c r="EL8" t="e">
        <f>AND(#REF!,"AAAAAF7S9I0=")</f>
        <v>#REF!</v>
      </c>
      <c r="EM8" t="e">
        <f>AND(#REF!,"AAAAAF7S9I4=")</f>
        <v>#REF!</v>
      </c>
      <c r="EN8" t="e">
        <f>IF(#REF!,"AAAAAF7S9I8=",0)</f>
        <v>#REF!</v>
      </c>
      <c r="EO8" t="e">
        <f>AND(#REF!,"AAAAAF7S9JA=")</f>
        <v>#REF!</v>
      </c>
      <c r="EP8" t="e">
        <f>AND(#REF!,"AAAAAF7S9JE=")</f>
        <v>#REF!</v>
      </c>
      <c r="EQ8" t="e">
        <f>AND(#REF!,"AAAAAF7S9JI=")</f>
        <v>#REF!</v>
      </c>
      <c r="ER8" t="e">
        <f>AND(#REF!,"AAAAAF7S9JM=")</f>
        <v>#REF!</v>
      </c>
      <c r="ES8" t="e">
        <f>AND(#REF!,"AAAAAF7S9JQ=")</f>
        <v>#REF!</v>
      </c>
      <c r="ET8" t="e">
        <f>AND(#REF!,"AAAAAF7S9JU=")</f>
        <v>#REF!</v>
      </c>
      <c r="EU8" t="e">
        <f>AND(#REF!,"AAAAAF7S9JY=")</f>
        <v>#REF!</v>
      </c>
      <c r="EV8" t="e">
        <f>AND(#REF!,"AAAAAF7S9Jc=")</f>
        <v>#REF!</v>
      </c>
      <c r="EW8" t="e">
        <f>AND(#REF!,"AAAAAF7S9Jg=")</f>
        <v>#REF!</v>
      </c>
      <c r="EX8" t="e">
        <f>AND(#REF!,"AAAAAF7S9Jk=")</f>
        <v>#REF!</v>
      </c>
      <c r="EY8" t="e">
        <f>AND(#REF!,"AAAAAF7S9Jo=")</f>
        <v>#REF!</v>
      </c>
      <c r="EZ8" t="e">
        <f>AND(#REF!,"AAAAAF7S9Js=")</f>
        <v>#REF!</v>
      </c>
      <c r="FA8" t="e">
        <f>AND(#REF!,"AAAAAF7S9Jw=")</f>
        <v>#REF!</v>
      </c>
      <c r="FB8" t="e">
        <f>IF(#REF!,"AAAAAF7S9J0=",0)</f>
        <v>#REF!</v>
      </c>
      <c r="FC8" t="e">
        <f>AND(#REF!,"AAAAAF7S9J4=")</f>
        <v>#REF!</v>
      </c>
      <c r="FD8" t="e">
        <f>AND(#REF!,"AAAAAF7S9J8=")</f>
        <v>#REF!</v>
      </c>
      <c r="FE8" t="e">
        <f>AND(#REF!,"AAAAAF7S9KA=")</f>
        <v>#REF!</v>
      </c>
      <c r="FF8" t="e">
        <f>AND(#REF!,"AAAAAF7S9KE=")</f>
        <v>#REF!</v>
      </c>
      <c r="FG8" t="e">
        <f>AND(#REF!,"AAAAAF7S9KI=")</f>
        <v>#REF!</v>
      </c>
      <c r="FH8" t="e">
        <f>AND(#REF!,"AAAAAF7S9KM=")</f>
        <v>#REF!</v>
      </c>
      <c r="FI8" t="e">
        <f>AND(#REF!,"AAAAAF7S9KQ=")</f>
        <v>#REF!</v>
      </c>
      <c r="FJ8" t="e">
        <f>AND(#REF!,"AAAAAF7S9KU=")</f>
        <v>#REF!</v>
      </c>
      <c r="FK8" t="e">
        <f>AND(#REF!,"AAAAAF7S9KY=")</f>
        <v>#REF!</v>
      </c>
      <c r="FL8" t="e">
        <f>AND(#REF!,"AAAAAF7S9Kc=")</f>
        <v>#REF!</v>
      </c>
      <c r="FM8" t="e">
        <f>AND(#REF!,"AAAAAF7S9Kg=")</f>
        <v>#REF!</v>
      </c>
      <c r="FN8" t="e">
        <f>AND(#REF!,"AAAAAF7S9Kk=")</f>
        <v>#REF!</v>
      </c>
      <c r="FO8" t="e">
        <f>AND(#REF!,"AAAAAF7S9Ko=")</f>
        <v>#REF!</v>
      </c>
      <c r="FP8" t="e">
        <f>IF(#REF!,"AAAAAF7S9Ks=",0)</f>
        <v>#REF!</v>
      </c>
      <c r="FQ8" t="e">
        <f>AND(#REF!,"AAAAAF7S9Kw=")</f>
        <v>#REF!</v>
      </c>
      <c r="FR8" t="e">
        <f>AND(#REF!,"AAAAAF7S9K0=")</f>
        <v>#REF!</v>
      </c>
      <c r="FS8" t="e">
        <f>AND(#REF!,"AAAAAF7S9K4=")</f>
        <v>#REF!</v>
      </c>
      <c r="FT8" t="e">
        <f>AND(#REF!,"AAAAAF7S9K8=")</f>
        <v>#REF!</v>
      </c>
      <c r="FU8" t="e">
        <f>AND(#REF!,"AAAAAF7S9LA=")</f>
        <v>#REF!</v>
      </c>
      <c r="FV8" t="e">
        <f>AND(#REF!,"AAAAAF7S9LE=")</f>
        <v>#REF!</v>
      </c>
      <c r="FW8" t="e">
        <f>AND(#REF!,"AAAAAF7S9LI=")</f>
        <v>#REF!</v>
      </c>
      <c r="FX8" t="e">
        <f>AND(#REF!,"AAAAAF7S9LM=")</f>
        <v>#REF!</v>
      </c>
      <c r="FY8" t="e">
        <f>AND(#REF!,"AAAAAF7S9LQ=")</f>
        <v>#REF!</v>
      </c>
      <c r="FZ8" t="e">
        <f>AND(#REF!,"AAAAAF7S9LU=")</f>
        <v>#REF!</v>
      </c>
      <c r="GA8" t="e">
        <f>AND(#REF!,"AAAAAF7S9LY=")</f>
        <v>#REF!</v>
      </c>
      <c r="GB8" t="e">
        <f>AND(#REF!,"AAAAAF7S9Lc=")</f>
        <v>#REF!</v>
      </c>
      <c r="GC8" t="e">
        <f>AND(#REF!,"AAAAAF7S9Lg=")</f>
        <v>#REF!</v>
      </c>
      <c r="GD8" t="e">
        <f>IF(#REF!,"AAAAAF7S9Lk=",0)</f>
        <v>#REF!</v>
      </c>
      <c r="GE8" t="e">
        <f>AND(#REF!,"AAAAAF7S9Lo=")</f>
        <v>#REF!</v>
      </c>
      <c r="GF8" t="e">
        <f>AND(#REF!,"AAAAAF7S9Ls=")</f>
        <v>#REF!</v>
      </c>
      <c r="GG8" t="e">
        <f>AND(#REF!,"AAAAAF7S9Lw=")</f>
        <v>#REF!</v>
      </c>
      <c r="GH8" t="e">
        <f>AND(#REF!,"AAAAAF7S9L0=")</f>
        <v>#REF!</v>
      </c>
      <c r="GI8" t="e">
        <f>AND(#REF!,"AAAAAF7S9L4=")</f>
        <v>#REF!</v>
      </c>
      <c r="GJ8" t="e">
        <f>AND(#REF!,"AAAAAF7S9L8=")</f>
        <v>#REF!</v>
      </c>
      <c r="GK8" t="e">
        <f>AND(#REF!,"AAAAAF7S9MA=")</f>
        <v>#REF!</v>
      </c>
      <c r="GL8" t="e">
        <f>AND(#REF!,"AAAAAF7S9ME=")</f>
        <v>#REF!</v>
      </c>
      <c r="GM8" t="e">
        <f>AND(#REF!,"AAAAAF7S9MI=")</f>
        <v>#REF!</v>
      </c>
      <c r="GN8" t="e">
        <f>AND(#REF!,"AAAAAF7S9MM=")</f>
        <v>#REF!</v>
      </c>
      <c r="GO8" t="e">
        <f>AND(#REF!,"AAAAAF7S9MQ=")</f>
        <v>#REF!</v>
      </c>
      <c r="GP8" t="e">
        <f>AND(#REF!,"AAAAAF7S9MU=")</f>
        <v>#REF!</v>
      </c>
      <c r="GQ8" t="e">
        <f>AND(#REF!,"AAAAAF7S9MY=")</f>
        <v>#REF!</v>
      </c>
      <c r="GR8" t="e">
        <f>IF(#REF!,"AAAAAF7S9Mc=",0)</f>
        <v>#REF!</v>
      </c>
      <c r="GS8" t="e">
        <f>AND(#REF!,"AAAAAF7S9Mg=")</f>
        <v>#REF!</v>
      </c>
      <c r="GT8" t="e">
        <f>AND(#REF!,"AAAAAF7S9Mk=")</f>
        <v>#REF!</v>
      </c>
      <c r="GU8" t="e">
        <f>AND(#REF!,"AAAAAF7S9Mo=")</f>
        <v>#REF!</v>
      </c>
      <c r="GV8" t="e">
        <f>AND(#REF!,"AAAAAF7S9Ms=")</f>
        <v>#REF!</v>
      </c>
      <c r="GW8" t="e">
        <f>AND(#REF!,"AAAAAF7S9Mw=")</f>
        <v>#REF!</v>
      </c>
      <c r="GX8" t="e">
        <f>AND(#REF!,"AAAAAF7S9M0=")</f>
        <v>#REF!</v>
      </c>
      <c r="GY8" t="e">
        <f>AND(#REF!,"AAAAAF7S9M4=")</f>
        <v>#REF!</v>
      </c>
      <c r="GZ8" t="e">
        <f>AND(#REF!,"AAAAAF7S9M8=")</f>
        <v>#REF!</v>
      </c>
      <c r="HA8" t="e">
        <f>AND(#REF!,"AAAAAF7S9NA=")</f>
        <v>#REF!</v>
      </c>
      <c r="HB8" t="e">
        <f>AND(#REF!,"AAAAAF7S9NE=")</f>
        <v>#REF!</v>
      </c>
      <c r="HC8" t="e">
        <f>AND(#REF!,"AAAAAF7S9NI=")</f>
        <v>#REF!</v>
      </c>
      <c r="HD8" t="e">
        <f>AND(#REF!,"AAAAAF7S9NM=")</f>
        <v>#REF!</v>
      </c>
      <c r="HE8" t="e">
        <f>AND(#REF!,"AAAAAF7S9NQ=")</f>
        <v>#REF!</v>
      </c>
      <c r="HF8" t="e">
        <f>IF(#REF!,"AAAAAF7S9NU=",0)</f>
        <v>#REF!</v>
      </c>
      <c r="HG8" t="e">
        <f>AND(#REF!,"AAAAAF7S9NY=")</f>
        <v>#REF!</v>
      </c>
      <c r="HH8" t="e">
        <f>AND(#REF!,"AAAAAF7S9Nc=")</f>
        <v>#REF!</v>
      </c>
      <c r="HI8" t="e">
        <f>AND(#REF!,"AAAAAF7S9Ng=")</f>
        <v>#REF!</v>
      </c>
      <c r="HJ8" t="e">
        <f>AND(#REF!,"AAAAAF7S9Nk=")</f>
        <v>#REF!</v>
      </c>
      <c r="HK8" t="e">
        <f>AND(#REF!,"AAAAAF7S9No=")</f>
        <v>#REF!</v>
      </c>
      <c r="HL8" t="e">
        <f>AND(#REF!,"AAAAAF7S9Ns=")</f>
        <v>#REF!</v>
      </c>
      <c r="HM8" t="e">
        <f>AND(#REF!,"AAAAAF7S9Nw=")</f>
        <v>#REF!</v>
      </c>
      <c r="HN8" t="e">
        <f>AND(#REF!,"AAAAAF7S9N0=")</f>
        <v>#REF!</v>
      </c>
      <c r="HO8" t="e">
        <f>AND(#REF!,"AAAAAF7S9N4=")</f>
        <v>#REF!</v>
      </c>
      <c r="HP8" t="e">
        <f>AND(#REF!,"AAAAAF7S9N8=")</f>
        <v>#REF!</v>
      </c>
      <c r="HQ8" t="e">
        <f>AND(#REF!,"AAAAAF7S9OA=")</f>
        <v>#REF!</v>
      </c>
      <c r="HR8" t="e">
        <f>AND(#REF!,"AAAAAF7S9OE=")</f>
        <v>#REF!</v>
      </c>
      <c r="HS8" t="e">
        <f>AND(#REF!,"AAAAAF7S9OI=")</f>
        <v>#REF!</v>
      </c>
      <c r="HT8" t="e">
        <f>IF(#REF!,"AAAAAF7S9OM=",0)</f>
        <v>#REF!</v>
      </c>
      <c r="HU8" t="e">
        <f>AND(#REF!,"AAAAAF7S9OQ=")</f>
        <v>#REF!</v>
      </c>
      <c r="HV8" t="e">
        <f>AND(#REF!,"AAAAAF7S9OU=")</f>
        <v>#REF!</v>
      </c>
      <c r="HW8" t="e">
        <f>AND(#REF!,"AAAAAF7S9OY=")</f>
        <v>#REF!</v>
      </c>
      <c r="HX8" t="e">
        <f>AND(#REF!,"AAAAAF7S9Oc=")</f>
        <v>#REF!</v>
      </c>
      <c r="HY8" t="e">
        <f>AND(#REF!,"AAAAAF7S9Og=")</f>
        <v>#REF!</v>
      </c>
      <c r="HZ8" t="e">
        <f>AND(#REF!,"AAAAAF7S9Ok=")</f>
        <v>#REF!</v>
      </c>
      <c r="IA8" t="e">
        <f>AND(#REF!,"AAAAAF7S9Oo=")</f>
        <v>#REF!</v>
      </c>
      <c r="IB8" t="e">
        <f>AND(#REF!,"AAAAAF7S9Os=")</f>
        <v>#REF!</v>
      </c>
      <c r="IC8" t="e">
        <f>AND(#REF!,"AAAAAF7S9Ow=")</f>
        <v>#REF!</v>
      </c>
      <c r="ID8" t="e">
        <f>AND(#REF!,"AAAAAF7S9O0=")</f>
        <v>#REF!</v>
      </c>
      <c r="IE8" t="e">
        <f>AND(#REF!,"AAAAAF7S9O4=")</f>
        <v>#REF!</v>
      </c>
      <c r="IF8" t="e">
        <f>AND(#REF!,"AAAAAF7S9O8=")</f>
        <v>#REF!</v>
      </c>
      <c r="IG8" t="e">
        <f>AND(#REF!,"AAAAAF7S9PA=")</f>
        <v>#REF!</v>
      </c>
      <c r="IH8" t="e">
        <f>IF(#REF!,"AAAAAF7S9PE=",0)</f>
        <v>#REF!</v>
      </c>
      <c r="II8" t="e">
        <f>AND(#REF!,"AAAAAF7S9PI=")</f>
        <v>#REF!</v>
      </c>
      <c r="IJ8" t="e">
        <f>AND(#REF!,"AAAAAF7S9PM=")</f>
        <v>#REF!</v>
      </c>
      <c r="IK8" t="e">
        <f>AND(#REF!,"AAAAAF7S9PQ=")</f>
        <v>#REF!</v>
      </c>
      <c r="IL8" t="e">
        <f>AND(#REF!,"AAAAAF7S9PU=")</f>
        <v>#REF!</v>
      </c>
      <c r="IM8" t="e">
        <f>AND(#REF!,"AAAAAF7S9PY=")</f>
        <v>#REF!</v>
      </c>
      <c r="IN8" t="e">
        <f>AND(#REF!,"AAAAAF7S9Pc=")</f>
        <v>#REF!</v>
      </c>
      <c r="IO8" t="e">
        <f>AND(#REF!,"AAAAAF7S9Pg=")</f>
        <v>#REF!</v>
      </c>
      <c r="IP8" t="e">
        <f>AND(#REF!,"AAAAAF7S9Pk=")</f>
        <v>#REF!</v>
      </c>
      <c r="IQ8" t="e">
        <f>AND(#REF!,"AAAAAF7S9Po=")</f>
        <v>#REF!</v>
      </c>
      <c r="IR8" t="e">
        <f>AND(#REF!,"AAAAAF7S9Ps=")</f>
        <v>#REF!</v>
      </c>
      <c r="IS8" t="e">
        <f>AND(#REF!,"AAAAAF7S9Pw=")</f>
        <v>#REF!</v>
      </c>
      <c r="IT8" t="e">
        <f>AND(#REF!,"AAAAAF7S9P0=")</f>
        <v>#REF!</v>
      </c>
      <c r="IU8" t="e">
        <f>AND(#REF!,"AAAAAF7S9P4=")</f>
        <v>#REF!</v>
      </c>
      <c r="IV8" t="e">
        <f>IF(#REF!,"AAAAAF7S9P8=",0)</f>
        <v>#REF!</v>
      </c>
    </row>
    <row r="9" spans="1:256">
      <c r="A9" t="e">
        <f>AND(#REF!,"AAAAAF/w7wA=")</f>
        <v>#REF!</v>
      </c>
      <c r="B9" t="e">
        <f>AND(#REF!,"AAAAAF/w7wE=")</f>
        <v>#REF!</v>
      </c>
      <c r="C9" t="e">
        <f>AND(#REF!,"AAAAAF/w7wI=")</f>
        <v>#REF!</v>
      </c>
      <c r="D9" t="e">
        <f>AND(#REF!,"AAAAAF/w7wM=")</f>
        <v>#REF!</v>
      </c>
      <c r="E9" t="e">
        <f>AND(#REF!,"AAAAAF/w7wQ=")</f>
        <v>#REF!</v>
      </c>
      <c r="F9" t="e">
        <f>AND(#REF!,"AAAAAF/w7wU=")</f>
        <v>#REF!</v>
      </c>
      <c r="G9" t="e">
        <f>AND(#REF!,"AAAAAF/w7wY=")</f>
        <v>#REF!</v>
      </c>
      <c r="H9" t="e">
        <f>AND(#REF!,"AAAAAF/w7wc=")</f>
        <v>#REF!</v>
      </c>
      <c r="I9" t="e">
        <f>AND(#REF!,"AAAAAF/w7wg=")</f>
        <v>#REF!</v>
      </c>
      <c r="J9" t="e">
        <f>AND(#REF!,"AAAAAF/w7wk=")</f>
        <v>#REF!</v>
      </c>
      <c r="K9" t="e">
        <f>AND(#REF!,"AAAAAF/w7wo=")</f>
        <v>#REF!</v>
      </c>
      <c r="L9" t="e">
        <f>AND(#REF!,"AAAAAF/w7ws=")</f>
        <v>#REF!</v>
      </c>
      <c r="M9" t="e">
        <f>AND(#REF!,"AAAAAF/w7ww=")</f>
        <v>#REF!</v>
      </c>
      <c r="N9" t="e">
        <f>IF(#REF!,"AAAAAF/w7w0=",0)</f>
        <v>#REF!</v>
      </c>
      <c r="O9" t="e">
        <f>AND(#REF!,"AAAAAF/w7w4=")</f>
        <v>#REF!</v>
      </c>
      <c r="P9" t="e">
        <f>AND(#REF!,"AAAAAF/w7w8=")</f>
        <v>#REF!</v>
      </c>
      <c r="Q9" t="e">
        <f>AND(#REF!,"AAAAAF/w7xA=")</f>
        <v>#REF!</v>
      </c>
      <c r="R9" t="e">
        <f>AND(#REF!,"AAAAAF/w7xE=")</f>
        <v>#REF!</v>
      </c>
      <c r="S9" t="e">
        <f>AND(#REF!,"AAAAAF/w7xI=")</f>
        <v>#REF!</v>
      </c>
      <c r="T9" t="e">
        <f>AND(#REF!,"AAAAAF/w7xM=")</f>
        <v>#REF!</v>
      </c>
      <c r="U9" t="e">
        <f>AND(#REF!,"AAAAAF/w7xQ=")</f>
        <v>#REF!</v>
      </c>
      <c r="V9" t="e">
        <f>AND(#REF!,"AAAAAF/w7xU=")</f>
        <v>#REF!</v>
      </c>
      <c r="W9" t="e">
        <f>AND(#REF!,"AAAAAF/w7xY=")</f>
        <v>#REF!</v>
      </c>
      <c r="X9" t="e">
        <f>AND(#REF!,"AAAAAF/w7xc=")</f>
        <v>#REF!</v>
      </c>
      <c r="Y9" t="e">
        <f>AND(#REF!,"AAAAAF/w7xg=")</f>
        <v>#REF!</v>
      </c>
      <c r="Z9" t="e">
        <f>AND(#REF!,"AAAAAF/w7xk=")</f>
        <v>#REF!</v>
      </c>
      <c r="AA9" t="e">
        <f>AND(#REF!,"AAAAAF/w7xo=")</f>
        <v>#REF!</v>
      </c>
      <c r="AB9" t="e">
        <f>IF(#REF!,"AAAAAF/w7xs=",0)</f>
        <v>#REF!</v>
      </c>
      <c r="AC9" t="e">
        <f>AND(#REF!,"AAAAAF/w7xw=")</f>
        <v>#REF!</v>
      </c>
      <c r="AD9" t="e">
        <f>AND(#REF!,"AAAAAF/w7x0=")</f>
        <v>#REF!</v>
      </c>
      <c r="AE9" t="e">
        <f>AND(#REF!,"AAAAAF/w7x4=")</f>
        <v>#REF!</v>
      </c>
      <c r="AF9" t="e">
        <f>AND(#REF!,"AAAAAF/w7x8=")</f>
        <v>#REF!</v>
      </c>
      <c r="AG9" t="e">
        <f>AND(#REF!,"AAAAAF/w7yA=")</f>
        <v>#REF!</v>
      </c>
      <c r="AH9" t="e">
        <f>AND(#REF!,"AAAAAF/w7yE=")</f>
        <v>#REF!</v>
      </c>
      <c r="AI9" t="e">
        <f>AND(#REF!,"AAAAAF/w7yI=")</f>
        <v>#REF!</v>
      </c>
      <c r="AJ9" t="e">
        <f>AND(#REF!,"AAAAAF/w7yM=")</f>
        <v>#REF!</v>
      </c>
      <c r="AK9" t="e">
        <f>AND(#REF!,"AAAAAF/w7yQ=")</f>
        <v>#REF!</v>
      </c>
      <c r="AL9" t="e">
        <f>AND(#REF!,"AAAAAF/w7yU=")</f>
        <v>#REF!</v>
      </c>
      <c r="AM9" t="e">
        <f>AND(#REF!,"AAAAAF/w7yY=")</f>
        <v>#REF!</v>
      </c>
      <c r="AN9" t="e">
        <f>AND(#REF!,"AAAAAF/w7yc=")</f>
        <v>#REF!</v>
      </c>
      <c r="AO9" t="e">
        <f>AND(#REF!,"AAAAAF/w7yg=")</f>
        <v>#REF!</v>
      </c>
      <c r="AP9" t="e">
        <f>IF(#REF!,"AAAAAF/w7yk=",0)</f>
        <v>#REF!</v>
      </c>
      <c r="AQ9" t="e">
        <f>AND(#REF!,"AAAAAF/w7yo=")</f>
        <v>#REF!</v>
      </c>
      <c r="AR9" t="e">
        <f>AND(#REF!,"AAAAAF/w7ys=")</f>
        <v>#REF!</v>
      </c>
      <c r="AS9" t="e">
        <f>AND(#REF!,"AAAAAF/w7yw=")</f>
        <v>#REF!</v>
      </c>
      <c r="AT9" t="e">
        <f>AND(#REF!,"AAAAAF/w7y0=")</f>
        <v>#REF!</v>
      </c>
      <c r="AU9" t="e">
        <f>AND(#REF!,"AAAAAF/w7y4=")</f>
        <v>#REF!</v>
      </c>
      <c r="AV9" t="e">
        <f>AND(#REF!,"AAAAAF/w7y8=")</f>
        <v>#REF!</v>
      </c>
      <c r="AW9" t="e">
        <f>AND(#REF!,"AAAAAF/w7zA=")</f>
        <v>#REF!</v>
      </c>
      <c r="AX9" t="e">
        <f>AND(#REF!,"AAAAAF/w7zE=")</f>
        <v>#REF!</v>
      </c>
      <c r="AY9" t="e">
        <f>AND(#REF!,"AAAAAF/w7zI=")</f>
        <v>#REF!</v>
      </c>
      <c r="AZ9" t="e">
        <f>AND(#REF!,"AAAAAF/w7zM=")</f>
        <v>#REF!</v>
      </c>
      <c r="BA9" t="e">
        <f>AND(#REF!,"AAAAAF/w7zQ=")</f>
        <v>#REF!</v>
      </c>
      <c r="BB9" t="e">
        <f>AND(#REF!,"AAAAAF/w7zU=")</f>
        <v>#REF!</v>
      </c>
      <c r="BC9" t="e">
        <f>AND(#REF!,"AAAAAF/w7zY=")</f>
        <v>#REF!</v>
      </c>
      <c r="BD9" t="e">
        <f>IF(#REF!,"AAAAAF/w7zc=",0)</f>
        <v>#REF!</v>
      </c>
      <c r="BE9" t="e">
        <f>AND(#REF!,"AAAAAF/w7zg=")</f>
        <v>#REF!</v>
      </c>
      <c r="BF9" t="e">
        <f>AND(#REF!,"AAAAAF/w7zk=")</f>
        <v>#REF!</v>
      </c>
      <c r="BG9" t="e">
        <f>AND(#REF!,"AAAAAF/w7zo=")</f>
        <v>#REF!</v>
      </c>
      <c r="BH9" t="e">
        <f>AND(#REF!,"AAAAAF/w7zs=")</f>
        <v>#REF!</v>
      </c>
      <c r="BI9" t="e">
        <f>AND(#REF!,"AAAAAF/w7zw=")</f>
        <v>#REF!</v>
      </c>
      <c r="BJ9" t="e">
        <f>AND(#REF!,"AAAAAF/w7z0=")</f>
        <v>#REF!</v>
      </c>
      <c r="BK9" t="e">
        <f>AND(#REF!,"AAAAAF/w7z4=")</f>
        <v>#REF!</v>
      </c>
      <c r="BL9" t="e">
        <f>AND(#REF!,"AAAAAF/w7z8=")</f>
        <v>#REF!</v>
      </c>
      <c r="BM9" t="e">
        <f>AND(#REF!,"AAAAAF/w70A=")</f>
        <v>#REF!</v>
      </c>
      <c r="BN9" t="e">
        <f>AND(#REF!,"AAAAAF/w70E=")</f>
        <v>#REF!</v>
      </c>
      <c r="BO9" t="e">
        <f>AND(#REF!,"AAAAAF/w70I=")</f>
        <v>#REF!</v>
      </c>
      <c r="BP9" t="e">
        <f>AND(#REF!,"AAAAAF/w70M=")</f>
        <v>#REF!</v>
      </c>
      <c r="BQ9" t="e">
        <f>AND(#REF!,"AAAAAF/w70Q=")</f>
        <v>#REF!</v>
      </c>
      <c r="BR9" t="e">
        <f>IF(#REF!,"AAAAAF/w70U=",0)</f>
        <v>#REF!</v>
      </c>
      <c r="BS9" t="e">
        <f>AND(#REF!,"AAAAAF/w70Y=")</f>
        <v>#REF!</v>
      </c>
      <c r="BT9" t="e">
        <f>AND(#REF!,"AAAAAF/w70c=")</f>
        <v>#REF!</v>
      </c>
      <c r="BU9" t="e">
        <f>AND(#REF!,"AAAAAF/w70g=")</f>
        <v>#REF!</v>
      </c>
      <c r="BV9" t="e">
        <f>AND(#REF!,"AAAAAF/w70k=")</f>
        <v>#REF!</v>
      </c>
      <c r="BW9" t="e">
        <f>AND(#REF!,"AAAAAF/w70o=")</f>
        <v>#REF!</v>
      </c>
      <c r="BX9" t="e">
        <f>AND(#REF!,"AAAAAF/w70s=")</f>
        <v>#REF!</v>
      </c>
      <c r="BY9" t="e">
        <f>AND(#REF!,"AAAAAF/w70w=")</f>
        <v>#REF!</v>
      </c>
      <c r="BZ9" t="e">
        <f>AND(#REF!,"AAAAAF/w700=")</f>
        <v>#REF!</v>
      </c>
      <c r="CA9" t="e">
        <f>AND(#REF!,"AAAAAF/w704=")</f>
        <v>#REF!</v>
      </c>
      <c r="CB9" t="e">
        <f>AND(#REF!,"AAAAAF/w708=")</f>
        <v>#REF!</v>
      </c>
      <c r="CC9" t="e">
        <f>AND(#REF!,"AAAAAF/w71A=")</f>
        <v>#REF!</v>
      </c>
      <c r="CD9" t="e">
        <f>AND(#REF!,"AAAAAF/w71E=")</f>
        <v>#REF!</v>
      </c>
      <c r="CE9" t="e">
        <f>AND(#REF!,"AAAAAF/w71I=")</f>
        <v>#REF!</v>
      </c>
      <c r="CF9" t="e">
        <f>IF(#REF!,"AAAAAF/w71M=",0)</f>
        <v>#REF!</v>
      </c>
      <c r="CG9" t="e">
        <f>AND(#REF!,"AAAAAF/w71Q=")</f>
        <v>#REF!</v>
      </c>
      <c r="CH9" t="e">
        <f>AND(#REF!,"AAAAAF/w71U=")</f>
        <v>#REF!</v>
      </c>
      <c r="CI9" t="e">
        <f>AND(#REF!,"AAAAAF/w71Y=")</f>
        <v>#REF!</v>
      </c>
      <c r="CJ9" t="e">
        <f>AND(#REF!,"AAAAAF/w71c=")</f>
        <v>#REF!</v>
      </c>
      <c r="CK9" t="e">
        <f>AND(#REF!,"AAAAAF/w71g=")</f>
        <v>#REF!</v>
      </c>
      <c r="CL9" t="e">
        <f>AND(#REF!,"AAAAAF/w71k=")</f>
        <v>#REF!</v>
      </c>
      <c r="CM9" t="e">
        <f>AND(#REF!,"AAAAAF/w71o=")</f>
        <v>#REF!</v>
      </c>
      <c r="CN9" t="e">
        <f>AND(#REF!,"AAAAAF/w71s=")</f>
        <v>#REF!</v>
      </c>
      <c r="CO9" t="e">
        <f>AND(#REF!,"AAAAAF/w71w=")</f>
        <v>#REF!</v>
      </c>
      <c r="CP9" t="e">
        <f>AND(#REF!,"AAAAAF/w710=")</f>
        <v>#REF!</v>
      </c>
      <c r="CQ9" t="e">
        <f>AND(#REF!,"AAAAAF/w714=")</f>
        <v>#REF!</v>
      </c>
      <c r="CR9" t="e">
        <f>AND(#REF!,"AAAAAF/w718=")</f>
        <v>#REF!</v>
      </c>
      <c r="CS9" t="e">
        <f>AND(#REF!,"AAAAAF/w72A=")</f>
        <v>#REF!</v>
      </c>
      <c r="CT9" t="e">
        <f>IF(#REF!,"AAAAAF/w72E=",0)</f>
        <v>#REF!</v>
      </c>
      <c r="CU9" t="e">
        <f>AND(#REF!,"AAAAAF/w72I=")</f>
        <v>#REF!</v>
      </c>
      <c r="CV9" t="e">
        <f>AND(#REF!,"AAAAAF/w72M=")</f>
        <v>#REF!</v>
      </c>
      <c r="CW9" t="e">
        <f>AND(#REF!,"AAAAAF/w72Q=")</f>
        <v>#REF!</v>
      </c>
      <c r="CX9" t="e">
        <f>AND(#REF!,"AAAAAF/w72U=")</f>
        <v>#REF!</v>
      </c>
      <c r="CY9" t="e">
        <f>AND(#REF!,"AAAAAF/w72Y=")</f>
        <v>#REF!</v>
      </c>
      <c r="CZ9" t="e">
        <f>AND(#REF!,"AAAAAF/w72c=")</f>
        <v>#REF!</v>
      </c>
      <c r="DA9" t="e">
        <f>AND(#REF!,"AAAAAF/w72g=")</f>
        <v>#REF!</v>
      </c>
      <c r="DB9" t="e">
        <f>AND(#REF!,"AAAAAF/w72k=")</f>
        <v>#REF!</v>
      </c>
      <c r="DC9" t="e">
        <f>AND(#REF!,"AAAAAF/w72o=")</f>
        <v>#REF!</v>
      </c>
      <c r="DD9" t="e">
        <f>AND(#REF!,"AAAAAF/w72s=")</f>
        <v>#REF!</v>
      </c>
      <c r="DE9" t="e">
        <f>AND(#REF!,"AAAAAF/w72w=")</f>
        <v>#REF!</v>
      </c>
      <c r="DF9" t="e">
        <f>AND(#REF!,"AAAAAF/w720=")</f>
        <v>#REF!</v>
      </c>
      <c r="DG9" t="e">
        <f>AND(#REF!,"AAAAAF/w724=")</f>
        <v>#REF!</v>
      </c>
      <c r="DH9" t="e">
        <f>IF(#REF!,"AAAAAF/w728=",0)</f>
        <v>#REF!</v>
      </c>
      <c r="DI9" t="e">
        <f>AND(#REF!,"AAAAAF/w73A=")</f>
        <v>#REF!</v>
      </c>
      <c r="DJ9" t="e">
        <f>AND(#REF!,"AAAAAF/w73E=")</f>
        <v>#REF!</v>
      </c>
      <c r="DK9" t="e">
        <f>AND(#REF!,"AAAAAF/w73I=")</f>
        <v>#REF!</v>
      </c>
      <c r="DL9" t="e">
        <f>AND(#REF!,"AAAAAF/w73M=")</f>
        <v>#REF!</v>
      </c>
      <c r="DM9" t="e">
        <f>AND(#REF!,"AAAAAF/w73Q=")</f>
        <v>#REF!</v>
      </c>
      <c r="DN9" t="e">
        <f>AND(#REF!,"AAAAAF/w73U=")</f>
        <v>#REF!</v>
      </c>
      <c r="DO9" t="e">
        <f>AND(#REF!,"AAAAAF/w73Y=")</f>
        <v>#REF!</v>
      </c>
      <c r="DP9" t="e">
        <f>AND(#REF!,"AAAAAF/w73c=")</f>
        <v>#REF!</v>
      </c>
      <c r="DQ9" t="e">
        <f>AND(#REF!,"AAAAAF/w73g=")</f>
        <v>#REF!</v>
      </c>
      <c r="DR9" t="e">
        <f>AND(#REF!,"AAAAAF/w73k=")</f>
        <v>#REF!</v>
      </c>
      <c r="DS9" t="e">
        <f>AND(#REF!,"AAAAAF/w73o=")</f>
        <v>#REF!</v>
      </c>
      <c r="DT9" t="e">
        <f>AND(#REF!,"AAAAAF/w73s=")</f>
        <v>#REF!</v>
      </c>
      <c r="DU9" t="e">
        <f>AND(#REF!,"AAAAAF/w73w=")</f>
        <v>#REF!</v>
      </c>
      <c r="DV9" t="e">
        <f>IF(#REF!,"AAAAAF/w730=",0)</f>
        <v>#REF!</v>
      </c>
      <c r="DW9" t="e">
        <f>AND(#REF!,"AAAAAF/w734=")</f>
        <v>#REF!</v>
      </c>
      <c r="DX9" t="e">
        <f>AND(#REF!,"AAAAAF/w738=")</f>
        <v>#REF!</v>
      </c>
      <c r="DY9" t="e">
        <f>AND(#REF!,"AAAAAF/w74A=")</f>
        <v>#REF!</v>
      </c>
      <c r="DZ9" t="e">
        <f>AND(#REF!,"AAAAAF/w74E=")</f>
        <v>#REF!</v>
      </c>
      <c r="EA9" t="e">
        <f>AND(#REF!,"AAAAAF/w74I=")</f>
        <v>#REF!</v>
      </c>
      <c r="EB9" t="e">
        <f>AND(#REF!,"AAAAAF/w74M=")</f>
        <v>#REF!</v>
      </c>
      <c r="EC9" t="e">
        <f>AND(#REF!,"AAAAAF/w74Q=")</f>
        <v>#REF!</v>
      </c>
      <c r="ED9" t="e">
        <f>AND(#REF!,"AAAAAF/w74U=")</f>
        <v>#REF!</v>
      </c>
      <c r="EE9" t="e">
        <f>AND(#REF!,"AAAAAF/w74Y=")</f>
        <v>#REF!</v>
      </c>
      <c r="EF9" t="e">
        <f>AND(#REF!,"AAAAAF/w74c=")</f>
        <v>#REF!</v>
      </c>
      <c r="EG9" t="e">
        <f>AND(#REF!,"AAAAAF/w74g=")</f>
        <v>#REF!</v>
      </c>
      <c r="EH9" t="e">
        <f>AND(#REF!,"AAAAAF/w74k=")</f>
        <v>#REF!</v>
      </c>
      <c r="EI9" t="e">
        <f>AND(#REF!,"AAAAAF/w74o=")</f>
        <v>#REF!</v>
      </c>
      <c r="EJ9" t="e">
        <f>IF(#REF!,"AAAAAF/w74s=",0)</f>
        <v>#REF!</v>
      </c>
      <c r="EK9" t="e">
        <f>AND(#REF!,"AAAAAF/w74w=")</f>
        <v>#REF!</v>
      </c>
      <c r="EL9" t="e">
        <f>AND(#REF!,"AAAAAF/w740=")</f>
        <v>#REF!</v>
      </c>
      <c r="EM9" t="e">
        <f>AND(#REF!,"AAAAAF/w744=")</f>
        <v>#REF!</v>
      </c>
      <c r="EN9" t="e">
        <f>AND(#REF!,"AAAAAF/w748=")</f>
        <v>#REF!</v>
      </c>
      <c r="EO9" t="e">
        <f>AND(#REF!,"AAAAAF/w75A=")</f>
        <v>#REF!</v>
      </c>
      <c r="EP9" t="e">
        <f>AND(#REF!,"AAAAAF/w75E=")</f>
        <v>#REF!</v>
      </c>
      <c r="EQ9" t="e">
        <f>AND(#REF!,"AAAAAF/w75I=")</f>
        <v>#REF!</v>
      </c>
      <c r="ER9" t="e">
        <f>AND(#REF!,"AAAAAF/w75M=")</f>
        <v>#REF!</v>
      </c>
      <c r="ES9" t="e">
        <f>AND(#REF!,"AAAAAF/w75Q=")</f>
        <v>#REF!</v>
      </c>
      <c r="ET9" t="e">
        <f>AND(#REF!,"AAAAAF/w75U=")</f>
        <v>#REF!</v>
      </c>
      <c r="EU9" t="e">
        <f>AND(#REF!,"AAAAAF/w75Y=")</f>
        <v>#REF!</v>
      </c>
      <c r="EV9" t="e">
        <f>AND(#REF!,"AAAAAF/w75c=")</f>
        <v>#REF!</v>
      </c>
      <c r="EW9" t="e">
        <f>AND(#REF!,"AAAAAF/w75g=")</f>
        <v>#REF!</v>
      </c>
      <c r="EX9" t="e">
        <f>IF(#REF!,"AAAAAF/w75k=",0)</f>
        <v>#REF!</v>
      </c>
      <c r="EY9" t="e">
        <f>AND(#REF!,"AAAAAF/w75o=")</f>
        <v>#REF!</v>
      </c>
      <c r="EZ9" t="e">
        <f>AND(#REF!,"AAAAAF/w75s=")</f>
        <v>#REF!</v>
      </c>
      <c r="FA9" t="e">
        <f>AND(#REF!,"AAAAAF/w75w=")</f>
        <v>#REF!</v>
      </c>
      <c r="FB9" t="e">
        <f>AND(#REF!,"AAAAAF/w750=")</f>
        <v>#REF!</v>
      </c>
      <c r="FC9" t="e">
        <f>AND(#REF!,"AAAAAF/w754=")</f>
        <v>#REF!</v>
      </c>
      <c r="FD9" t="e">
        <f>AND(#REF!,"AAAAAF/w758=")</f>
        <v>#REF!</v>
      </c>
      <c r="FE9" t="e">
        <f>AND(#REF!,"AAAAAF/w76A=")</f>
        <v>#REF!</v>
      </c>
      <c r="FF9" t="e">
        <f>AND(#REF!,"AAAAAF/w76E=")</f>
        <v>#REF!</v>
      </c>
      <c r="FG9" t="e">
        <f>AND(#REF!,"AAAAAF/w76I=")</f>
        <v>#REF!</v>
      </c>
      <c r="FH9" t="e">
        <f>AND(#REF!,"AAAAAF/w76M=")</f>
        <v>#REF!</v>
      </c>
      <c r="FI9" t="e">
        <f>AND(#REF!,"AAAAAF/w76Q=")</f>
        <v>#REF!</v>
      </c>
      <c r="FJ9" t="e">
        <f>AND(#REF!,"AAAAAF/w76U=")</f>
        <v>#REF!</v>
      </c>
      <c r="FK9" t="e">
        <f>AND(#REF!,"AAAAAF/w76Y=")</f>
        <v>#REF!</v>
      </c>
      <c r="FL9" t="e">
        <f>IF(#REF!,"AAAAAF/w76c=",0)</f>
        <v>#REF!</v>
      </c>
      <c r="FM9" t="e">
        <f>AND(#REF!,"AAAAAF/w76g=")</f>
        <v>#REF!</v>
      </c>
      <c r="FN9" t="e">
        <f>AND(#REF!,"AAAAAF/w76k=")</f>
        <v>#REF!</v>
      </c>
      <c r="FO9" t="e">
        <f>AND(#REF!,"AAAAAF/w76o=")</f>
        <v>#REF!</v>
      </c>
      <c r="FP9" t="e">
        <f>AND(#REF!,"AAAAAF/w76s=")</f>
        <v>#REF!</v>
      </c>
      <c r="FQ9" t="e">
        <f>AND(#REF!,"AAAAAF/w76w=")</f>
        <v>#REF!</v>
      </c>
      <c r="FR9" t="e">
        <f>AND(#REF!,"AAAAAF/w760=")</f>
        <v>#REF!</v>
      </c>
      <c r="FS9" t="e">
        <f>AND(#REF!,"AAAAAF/w764=")</f>
        <v>#REF!</v>
      </c>
      <c r="FT9" t="e">
        <f>AND(#REF!,"AAAAAF/w768=")</f>
        <v>#REF!</v>
      </c>
      <c r="FU9" t="e">
        <f>AND(#REF!,"AAAAAF/w77A=")</f>
        <v>#REF!</v>
      </c>
      <c r="FV9" t="e">
        <f>AND(#REF!,"AAAAAF/w77E=")</f>
        <v>#REF!</v>
      </c>
      <c r="FW9" t="e">
        <f>AND(#REF!,"AAAAAF/w77I=")</f>
        <v>#REF!</v>
      </c>
      <c r="FX9" t="e">
        <f>AND(#REF!,"AAAAAF/w77M=")</f>
        <v>#REF!</v>
      </c>
      <c r="FY9" t="e">
        <f>AND(#REF!,"AAAAAF/w77Q=")</f>
        <v>#REF!</v>
      </c>
      <c r="FZ9" t="e">
        <f>IF(#REF!,"AAAAAF/w77U=",0)</f>
        <v>#REF!</v>
      </c>
      <c r="GA9" t="e">
        <f>AND(#REF!,"AAAAAF/w77Y=")</f>
        <v>#REF!</v>
      </c>
      <c r="GB9" t="e">
        <f>AND(#REF!,"AAAAAF/w77c=")</f>
        <v>#REF!</v>
      </c>
      <c r="GC9" t="e">
        <f>AND(#REF!,"AAAAAF/w77g=")</f>
        <v>#REF!</v>
      </c>
      <c r="GD9" t="e">
        <f>AND(#REF!,"AAAAAF/w77k=")</f>
        <v>#REF!</v>
      </c>
      <c r="GE9" t="e">
        <f>AND(#REF!,"AAAAAF/w77o=")</f>
        <v>#REF!</v>
      </c>
      <c r="GF9" t="e">
        <f>AND(#REF!,"AAAAAF/w77s=")</f>
        <v>#REF!</v>
      </c>
      <c r="GG9" t="e">
        <f>AND(#REF!,"AAAAAF/w77w=")</f>
        <v>#REF!</v>
      </c>
      <c r="GH9" t="e">
        <f>AND(#REF!,"AAAAAF/w770=")</f>
        <v>#REF!</v>
      </c>
      <c r="GI9" t="e">
        <f>AND(#REF!,"AAAAAF/w774=")</f>
        <v>#REF!</v>
      </c>
      <c r="GJ9" t="e">
        <f>AND(#REF!,"AAAAAF/w778=")</f>
        <v>#REF!</v>
      </c>
      <c r="GK9" t="e">
        <f>AND(#REF!,"AAAAAF/w78A=")</f>
        <v>#REF!</v>
      </c>
      <c r="GL9" t="e">
        <f>AND(#REF!,"AAAAAF/w78E=")</f>
        <v>#REF!</v>
      </c>
      <c r="GM9" t="e">
        <f>AND(#REF!,"AAAAAF/w78I=")</f>
        <v>#REF!</v>
      </c>
      <c r="GN9" t="e">
        <f>IF(#REF!,"AAAAAF/w78M=",0)</f>
        <v>#REF!</v>
      </c>
      <c r="GO9" t="e">
        <f>IF(#REF!,"AAAAAF/w78Q=",0)</f>
        <v>#REF!</v>
      </c>
      <c r="GP9" t="e">
        <f>IF(#REF!,"AAAAAF/w78U=",0)</f>
        <v>#REF!</v>
      </c>
      <c r="GQ9" t="e">
        <f>IF(#REF!,"AAAAAF/w78Y=",0)</f>
        <v>#REF!</v>
      </c>
      <c r="GR9" t="e">
        <f>IF(#REF!,"AAAAAF/w78c=",0)</f>
        <v>#REF!</v>
      </c>
      <c r="GS9" t="e">
        <f>IF(#REF!,"AAAAAF/w78g=",0)</f>
        <v>#REF!</v>
      </c>
      <c r="GT9" t="e">
        <f>IF(#REF!,"AAAAAF/w78k=",0)</f>
        <v>#REF!</v>
      </c>
      <c r="GU9" t="e">
        <f>IF(#REF!,"AAAAAF/w78o=",0)</f>
        <v>#REF!</v>
      </c>
      <c r="GV9" t="e">
        <f>IF(#REF!,"AAAAAF/w78s=",0)</f>
        <v>#REF!</v>
      </c>
      <c r="GW9" t="e">
        <f>IF(#REF!,"AAAAAF/w78w=",0)</f>
        <v>#REF!</v>
      </c>
      <c r="GX9" t="e">
        <f>IF(#REF!,"AAAAAF/w780=",0)</f>
        <v>#REF!</v>
      </c>
      <c r="GY9" t="e">
        <f>IF(#REF!,"AAAAAF/w784=",0)</f>
        <v>#REF!</v>
      </c>
      <c r="GZ9" t="e">
        <f>IF(#REF!,"AAAAAF/w788=",0)</f>
        <v>#REF!</v>
      </c>
      <c r="HA9" t="e">
        <f>IF(#REF!,"AAAAAF/w79A=",0)</f>
        <v>#REF!</v>
      </c>
      <c r="HB9" t="e">
        <f>AND(#REF!,"AAAAAF/w79E=")</f>
        <v>#REF!</v>
      </c>
      <c r="HC9" t="e">
        <f>AND(#REF!,"AAAAAF/w79I=")</f>
        <v>#REF!</v>
      </c>
      <c r="HD9" t="e">
        <f>AND(#REF!,"AAAAAF/w79M=")</f>
        <v>#REF!</v>
      </c>
      <c r="HE9" t="e">
        <f>AND(#REF!,"AAAAAF/w79Q=")</f>
        <v>#REF!</v>
      </c>
      <c r="HF9" t="e">
        <f>AND(#REF!,"AAAAAF/w79U=")</f>
        <v>#REF!</v>
      </c>
      <c r="HG9" t="e">
        <f>IF(#REF!,"AAAAAF/w79Y=",0)</f>
        <v>#REF!</v>
      </c>
      <c r="HH9" t="e">
        <f>AND(#REF!,"AAAAAF/w79c=")</f>
        <v>#REF!</v>
      </c>
      <c r="HI9" t="e">
        <f>AND(#REF!,"AAAAAF/w79g=")</f>
        <v>#REF!</v>
      </c>
      <c r="HJ9" t="e">
        <f>AND(#REF!,"AAAAAF/w79k=")</f>
        <v>#REF!</v>
      </c>
      <c r="HK9" t="e">
        <f>AND(#REF!,"AAAAAF/w79o=")</f>
        <v>#REF!</v>
      </c>
      <c r="HL9" t="e">
        <f>AND(#REF!,"AAAAAF/w79s=")</f>
        <v>#REF!</v>
      </c>
      <c r="HM9" t="e">
        <f>IF(#REF!,"AAAAAF/w79w=",0)</f>
        <v>#REF!</v>
      </c>
      <c r="HN9" t="e">
        <f>AND(#REF!,"AAAAAF/w790=")</f>
        <v>#REF!</v>
      </c>
      <c r="HO9" t="e">
        <f>AND(#REF!,"AAAAAF/w794=")</f>
        <v>#REF!</v>
      </c>
      <c r="HP9" t="e">
        <f>AND(#REF!,"AAAAAF/w798=")</f>
        <v>#REF!</v>
      </c>
      <c r="HQ9" t="e">
        <f>AND(#REF!,"AAAAAF/w7+A=")</f>
        <v>#REF!</v>
      </c>
      <c r="HR9" t="e">
        <f>AND(#REF!,"AAAAAF/w7+E=")</f>
        <v>#REF!</v>
      </c>
      <c r="HS9" t="e">
        <f>IF(#REF!,"AAAAAF/w7+I=",0)</f>
        <v>#REF!</v>
      </c>
      <c r="HT9" t="e">
        <f>AND(#REF!,"AAAAAF/w7+M=")</f>
        <v>#REF!</v>
      </c>
      <c r="HU9" t="e">
        <f>AND(#REF!,"AAAAAF/w7+Q=")</f>
        <v>#REF!</v>
      </c>
      <c r="HV9" t="e">
        <f>AND(#REF!,"AAAAAF/w7+U=")</f>
        <v>#REF!</v>
      </c>
      <c r="HW9" t="e">
        <f>AND(#REF!,"AAAAAF/w7+Y=")</f>
        <v>#REF!</v>
      </c>
      <c r="HX9" t="e">
        <f>AND(#REF!,"AAAAAF/w7+c=")</f>
        <v>#REF!</v>
      </c>
      <c r="HY9" t="e">
        <f>IF(#REF!,"AAAAAF/w7+g=",0)</f>
        <v>#REF!</v>
      </c>
      <c r="HZ9" t="e">
        <f>AND(#REF!,"AAAAAF/w7+k=")</f>
        <v>#REF!</v>
      </c>
      <c r="IA9" t="e">
        <f>AND(#REF!,"AAAAAF/w7+o=")</f>
        <v>#REF!</v>
      </c>
      <c r="IB9" t="e">
        <f>AND(#REF!,"AAAAAF/w7+s=")</f>
        <v>#REF!</v>
      </c>
      <c r="IC9" t="e">
        <f>AND(#REF!,"AAAAAF/w7+w=")</f>
        <v>#REF!</v>
      </c>
      <c r="ID9" t="e">
        <f>AND(#REF!,"AAAAAF/w7+0=")</f>
        <v>#REF!</v>
      </c>
      <c r="IE9" t="e">
        <f>IF(#REF!,"AAAAAF/w7+4=",0)</f>
        <v>#REF!</v>
      </c>
      <c r="IF9" t="e">
        <f>AND(#REF!,"AAAAAF/w7+8=")</f>
        <v>#REF!</v>
      </c>
      <c r="IG9" t="e">
        <f>AND(#REF!,"AAAAAF/w7/A=")</f>
        <v>#REF!</v>
      </c>
      <c r="IH9" t="e">
        <f>AND(#REF!,"AAAAAF/w7/E=")</f>
        <v>#REF!</v>
      </c>
      <c r="II9" t="e">
        <f>AND(#REF!,"AAAAAF/w7/I=")</f>
        <v>#REF!</v>
      </c>
      <c r="IJ9" t="e">
        <f>AND(#REF!,"AAAAAF/w7/M=")</f>
        <v>#REF!</v>
      </c>
      <c r="IK9" t="e">
        <f>IF(#REF!,"AAAAAF/w7/Q=",0)</f>
        <v>#REF!</v>
      </c>
      <c r="IL9" t="e">
        <f>AND(#REF!,"AAAAAF/w7/U=")</f>
        <v>#REF!</v>
      </c>
      <c r="IM9" t="e">
        <f>AND(#REF!,"AAAAAF/w7/Y=")</f>
        <v>#REF!</v>
      </c>
      <c r="IN9" t="e">
        <f>AND(#REF!,"AAAAAF/w7/c=")</f>
        <v>#REF!</v>
      </c>
      <c r="IO9" t="e">
        <f>AND(#REF!,"AAAAAF/w7/g=")</f>
        <v>#REF!</v>
      </c>
      <c r="IP9" t="e">
        <f>AND(#REF!,"AAAAAF/w7/k=")</f>
        <v>#REF!</v>
      </c>
      <c r="IQ9" t="e">
        <f>IF(#REF!,"AAAAAF/w7/o=",0)</f>
        <v>#REF!</v>
      </c>
      <c r="IR9" t="e">
        <f>AND(#REF!,"AAAAAF/w7/s=")</f>
        <v>#REF!</v>
      </c>
      <c r="IS9" t="e">
        <f>AND(#REF!,"AAAAAF/w7/w=")</f>
        <v>#REF!</v>
      </c>
      <c r="IT9" t="e">
        <f>AND(#REF!,"AAAAAF/w7/0=")</f>
        <v>#REF!</v>
      </c>
      <c r="IU9" t="e">
        <f>AND(#REF!,"AAAAAF/w7/4=")</f>
        <v>#REF!</v>
      </c>
      <c r="IV9" t="e">
        <f>AND(#REF!,"AAAAAF/w7/8=")</f>
        <v>#REF!</v>
      </c>
    </row>
    <row r="10" spans="1:256">
      <c r="A10" t="e">
        <f>IF(#REF!,"AAAAAHf/vwA=",0)</f>
        <v>#REF!</v>
      </c>
      <c r="B10" t="e">
        <f>AND(#REF!,"AAAAAHf/vwE=")</f>
        <v>#REF!</v>
      </c>
      <c r="C10" t="e">
        <f>AND(#REF!,"AAAAAHf/vwI=")</f>
        <v>#REF!</v>
      </c>
      <c r="D10" t="e">
        <f>AND(#REF!,"AAAAAHf/vwM=")</f>
        <v>#REF!</v>
      </c>
      <c r="E10" t="e">
        <f>AND(#REF!,"AAAAAHf/vwQ=")</f>
        <v>#REF!</v>
      </c>
      <c r="F10" t="e">
        <f>AND(#REF!,"AAAAAHf/vwU=")</f>
        <v>#REF!</v>
      </c>
      <c r="G10" t="e">
        <f>IF(#REF!,"AAAAAHf/vwY=",0)</f>
        <v>#REF!</v>
      </c>
      <c r="H10" t="e">
        <f>AND(#REF!,"AAAAAHf/vwc=")</f>
        <v>#REF!</v>
      </c>
      <c r="I10" t="e">
        <f>AND(#REF!,"AAAAAHf/vwg=")</f>
        <v>#REF!</v>
      </c>
      <c r="J10" t="e">
        <f>AND(#REF!,"AAAAAHf/vwk=")</f>
        <v>#REF!</v>
      </c>
      <c r="K10" t="e">
        <f>AND(#REF!,"AAAAAHf/vwo=")</f>
        <v>#REF!</v>
      </c>
      <c r="L10" t="e">
        <f>AND(#REF!,"AAAAAHf/vws=")</f>
        <v>#REF!</v>
      </c>
      <c r="M10" t="e">
        <f>IF(#REF!,"AAAAAHf/vww=",0)</f>
        <v>#REF!</v>
      </c>
      <c r="N10" t="e">
        <f>AND(#REF!,"AAAAAHf/vw0=")</f>
        <v>#REF!</v>
      </c>
      <c r="O10" t="e">
        <f>AND(#REF!,"AAAAAHf/vw4=")</f>
        <v>#REF!</v>
      </c>
      <c r="P10" t="e">
        <f>AND(#REF!,"AAAAAHf/vw8=")</f>
        <v>#REF!</v>
      </c>
      <c r="Q10" t="e">
        <f>AND(#REF!,"AAAAAHf/vxA=")</f>
        <v>#REF!</v>
      </c>
      <c r="R10" t="e">
        <f>AND(#REF!,"AAAAAHf/vxE=")</f>
        <v>#REF!</v>
      </c>
      <c r="S10" t="e">
        <f>IF(#REF!,"AAAAAHf/vxI=",0)</f>
        <v>#REF!</v>
      </c>
      <c r="T10" t="e">
        <f>AND(#REF!,"AAAAAHf/vxM=")</f>
        <v>#REF!</v>
      </c>
      <c r="U10" t="e">
        <f>AND(#REF!,"AAAAAHf/vxQ=")</f>
        <v>#REF!</v>
      </c>
      <c r="V10" t="e">
        <f>AND(#REF!,"AAAAAHf/vxU=")</f>
        <v>#REF!</v>
      </c>
      <c r="W10" t="e">
        <f>AND(#REF!,"AAAAAHf/vxY=")</f>
        <v>#REF!</v>
      </c>
      <c r="X10" t="e">
        <f>AND(#REF!,"AAAAAHf/vxc=")</f>
        <v>#REF!</v>
      </c>
      <c r="Y10" t="e">
        <f>IF(#REF!,"AAAAAHf/vxg=",0)</f>
        <v>#REF!</v>
      </c>
      <c r="Z10" t="e">
        <f>AND(#REF!,"AAAAAHf/vxk=")</f>
        <v>#REF!</v>
      </c>
      <c r="AA10" t="e">
        <f>AND(#REF!,"AAAAAHf/vxo=")</f>
        <v>#REF!</v>
      </c>
      <c r="AB10" t="e">
        <f>AND(#REF!,"AAAAAHf/vxs=")</f>
        <v>#REF!</v>
      </c>
      <c r="AC10" t="e">
        <f>AND(#REF!,"AAAAAHf/vxw=")</f>
        <v>#REF!</v>
      </c>
      <c r="AD10" t="e">
        <f>AND(#REF!,"AAAAAHf/vx0=")</f>
        <v>#REF!</v>
      </c>
      <c r="AE10" t="e">
        <f>IF(#REF!,"AAAAAHf/vx4=",0)</f>
        <v>#REF!</v>
      </c>
      <c r="AF10" t="e">
        <f>AND(#REF!,"AAAAAHf/vx8=")</f>
        <v>#REF!</v>
      </c>
      <c r="AG10" t="e">
        <f>AND(#REF!,"AAAAAHf/vyA=")</f>
        <v>#REF!</v>
      </c>
      <c r="AH10" t="e">
        <f>AND(#REF!,"AAAAAHf/vyE=")</f>
        <v>#REF!</v>
      </c>
      <c r="AI10" t="e">
        <f>AND(#REF!,"AAAAAHf/vyI=")</f>
        <v>#REF!</v>
      </c>
      <c r="AJ10" t="e">
        <f>AND(#REF!,"AAAAAHf/vyM=")</f>
        <v>#REF!</v>
      </c>
      <c r="AK10" t="e">
        <f>IF(#REF!,"AAAAAHf/vyQ=",0)</f>
        <v>#REF!</v>
      </c>
      <c r="AL10" t="e">
        <f>AND(#REF!,"AAAAAHf/vyU=")</f>
        <v>#REF!</v>
      </c>
      <c r="AM10" t="e">
        <f>AND(#REF!,"AAAAAHf/vyY=")</f>
        <v>#REF!</v>
      </c>
      <c r="AN10" t="e">
        <f>AND(#REF!,"AAAAAHf/vyc=")</f>
        <v>#REF!</v>
      </c>
      <c r="AO10" t="e">
        <f>AND(#REF!,"AAAAAHf/vyg=")</f>
        <v>#REF!</v>
      </c>
      <c r="AP10" t="e">
        <f>AND(#REF!,"AAAAAHf/vyk=")</f>
        <v>#REF!</v>
      </c>
      <c r="AQ10" t="e">
        <f>IF(#REF!,"AAAAAHf/vyo=",0)</f>
        <v>#REF!</v>
      </c>
      <c r="AR10" t="e">
        <f>AND(#REF!,"AAAAAHf/vys=")</f>
        <v>#REF!</v>
      </c>
      <c r="AS10" t="e">
        <f>AND(#REF!,"AAAAAHf/vyw=")</f>
        <v>#REF!</v>
      </c>
      <c r="AT10" t="e">
        <f>AND(#REF!,"AAAAAHf/vy0=")</f>
        <v>#REF!</v>
      </c>
      <c r="AU10" t="e">
        <f>AND(#REF!,"AAAAAHf/vy4=")</f>
        <v>#REF!</v>
      </c>
      <c r="AV10" t="e">
        <f>AND(#REF!,"AAAAAHf/vy8=")</f>
        <v>#REF!</v>
      </c>
      <c r="AW10" t="e">
        <f>IF(#REF!,"AAAAAHf/vzA=",0)</f>
        <v>#REF!</v>
      </c>
      <c r="AX10" t="e">
        <f>AND(#REF!,"AAAAAHf/vzE=")</f>
        <v>#REF!</v>
      </c>
      <c r="AY10" t="e">
        <f>AND(#REF!,"AAAAAHf/vzI=")</f>
        <v>#REF!</v>
      </c>
      <c r="AZ10" t="e">
        <f>AND(#REF!,"AAAAAHf/vzM=")</f>
        <v>#REF!</v>
      </c>
      <c r="BA10" t="e">
        <f>AND(#REF!,"AAAAAHf/vzQ=")</f>
        <v>#REF!</v>
      </c>
      <c r="BB10" t="e">
        <f>AND(#REF!,"AAAAAHf/vzU=")</f>
        <v>#REF!</v>
      </c>
      <c r="BC10" t="e">
        <f>IF(#REF!,"AAAAAHf/vzY=",0)</f>
        <v>#REF!</v>
      </c>
      <c r="BD10" t="e">
        <f>AND(#REF!,"AAAAAHf/vzc=")</f>
        <v>#REF!</v>
      </c>
      <c r="BE10" t="e">
        <f>AND(#REF!,"AAAAAHf/vzg=")</f>
        <v>#REF!</v>
      </c>
      <c r="BF10" t="e">
        <f>AND(#REF!,"AAAAAHf/vzk=")</f>
        <v>#REF!</v>
      </c>
      <c r="BG10" t="e">
        <f>AND(#REF!,"AAAAAHf/vzo=")</f>
        <v>#REF!</v>
      </c>
      <c r="BH10" t="e">
        <f>AND(#REF!,"AAAAAHf/vzs=")</f>
        <v>#REF!</v>
      </c>
      <c r="BI10" t="e">
        <f>IF(#REF!,"AAAAAHf/vzw=",0)</f>
        <v>#REF!</v>
      </c>
      <c r="BJ10" t="e">
        <f>AND(#REF!,"AAAAAHf/vz0=")</f>
        <v>#REF!</v>
      </c>
      <c r="BK10" t="e">
        <f>AND(#REF!,"AAAAAHf/vz4=")</f>
        <v>#REF!</v>
      </c>
      <c r="BL10" t="e">
        <f>AND(#REF!,"AAAAAHf/vz8=")</f>
        <v>#REF!</v>
      </c>
      <c r="BM10" t="e">
        <f>AND(#REF!,"AAAAAHf/v0A=")</f>
        <v>#REF!</v>
      </c>
      <c r="BN10" t="e">
        <f>AND(#REF!,"AAAAAHf/v0E=")</f>
        <v>#REF!</v>
      </c>
      <c r="BO10" t="e">
        <f>IF(#REF!,"AAAAAHf/v0I=",0)</f>
        <v>#REF!</v>
      </c>
      <c r="BP10" t="e">
        <f>AND(#REF!,"AAAAAHf/v0M=")</f>
        <v>#REF!</v>
      </c>
      <c r="BQ10" t="e">
        <f>AND(#REF!,"AAAAAHf/v0Q=")</f>
        <v>#REF!</v>
      </c>
      <c r="BR10" t="e">
        <f>AND(#REF!,"AAAAAHf/v0U=")</f>
        <v>#REF!</v>
      </c>
      <c r="BS10" t="e">
        <f>AND(#REF!,"AAAAAHf/v0Y=")</f>
        <v>#REF!</v>
      </c>
      <c r="BT10" t="e">
        <f>AND(#REF!,"AAAAAHf/v0c=")</f>
        <v>#REF!</v>
      </c>
      <c r="BU10" t="e">
        <f>IF(#REF!,"AAAAAHf/v0g=",0)</f>
        <v>#REF!</v>
      </c>
      <c r="BV10" t="e">
        <f>AND(#REF!,"AAAAAHf/v0k=")</f>
        <v>#REF!</v>
      </c>
      <c r="BW10" t="e">
        <f>AND(#REF!,"AAAAAHf/v0o=")</f>
        <v>#REF!</v>
      </c>
      <c r="BX10" t="e">
        <f>AND(#REF!,"AAAAAHf/v0s=")</f>
        <v>#REF!</v>
      </c>
      <c r="BY10" t="e">
        <f>AND(#REF!,"AAAAAHf/v0w=")</f>
        <v>#REF!</v>
      </c>
      <c r="BZ10" t="e">
        <f>AND(#REF!,"AAAAAHf/v00=")</f>
        <v>#REF!</v>
      </c>
      <c r="CA10" t="e">
        <f>IF(#REF!,"AAAAAHf/v04=",0)</f>
        <v>#REF!</v>
      </c>
      <c r="CB10" t="e">
        <f>AND(#REF!,"AAAAAHf/v08=")</f>
        <v>#REF!</v>
      </c>
      <c r="CC10" t="e">
        <f>AND(#REF!,"AAAAAHf/v1A=")</f>
        <v>#REF!</v>
      </c>
      <c r="CD10" t="e">
        <f>AND(#REF!,"AAAAAHf/v1E=")</f>
        <v>#REF!</v>
      </c>
      <c r="CE10" t="e">
        <f>AND(#REF!,"AAAAAHf/v1I=")</f>
        <v>#REF!</v>
      </c>
      <c r="CF10" t="e">
        <f>AND(#REF!,"AAAAAHf/v1M=")</f>
        <v>#REF!</v>
      </c>
      <c r="CG10" t="e">
        <f>IF(#REF!,"AAAAAHf/v1Q=",0)</f>
        <v>#REF!</v>
      </c>
      <c r="CH10" t="e">
        <f>AND(#REF!,"AAAAAHf/v1U=")</f>
        <v>#REF!</v>
      </c>
      <c r="CI10" t="e">
        <f>AND(#REF!,"AAAAAHf/v1Y=")</f>
        <v>#REF!</v>
      </c>
      <c r="CJ10" t="e">
        <f>AND(#REF!,"AAAAAHf/v1c=")</f>
        <v>#REF!</v>
      </c>
      <c r="CK10" t="e">
        <f>AND(#REF!,"AAAAAHf/v1g=")</f>
        <v>#REF!</v>
      </c>
      <c r="CL10" t="e">
        <f>AND(#REF!,"AAAAAHf/v1k=")</f>
        <v>#REF!</v>
      </c>
      <c r="CM10" t="e">
        <f>IF(#REF!,"AAAAAHf/v1o=",0)</f>
        <v>#REF!</v>
      </c>
      <c r="CN10" t="e">
        <f>AND(#REF!,"AAAAAHf/v1s=")</f>
        <v>#REF!</v>
      </c>
      <c r="CO10" t="e">
        <f>AND(#REF!,"AAAAAHf/v1w=")</f>
        <v>#REF!</v>
      </c>
      <c r="CP10" t="e">
        <f>AND(#REF!,"AAAAAHf/v10=")</f>
        <v>#REF!</v>
      </c>
      <c r="CQ10" t="e">
        <f>AND(#REF!,"AAAAAHf/v14=")</f>
        <v>#REF!</v>
      </c>
      <c r="CR10" t="e">
        <f>AND(#REF!,"AAAAAHf/v18=")</f>
        <v>#REF!</v>
      </c>
      <c r="CS10" t="e">
        <f>IF(#REF!,"AAAAAHf/v2A=",0)</f>
        <v>#REF!</v>
      </c>
      <c r="CT10" t="e">
        <f>AND(#REF!,"AAAAAHf/v2E=")</f>
        <v>#REF!</v>
      </c>
      <c r="CU10" t="e">
        <f>AND(#REF!,"AAAAAHf/v2I=")</f>
        <v>#REF!</v>
      </c>
      <c r="CV10" t="e">
        <f>AND(#REF!,"AAAAAHf/v2M=")</f>
        <v>#REF!</v>
      </c>
      <c r="CW10" t="e">
        <f>AND(#REF!,"AAAAAHf/v2Q=")</f>
        <v>#REF!</v>
      </c>
      <c r="CX10" t="e">
        <f>AND(#REF!,"AAAAAHf/v2U=")</f>
        <v>#REF!</v>
      </c>
      <c r="CY10" t="e">
        <f>IF(#REF!,"AAAAAHf/v2Y=",0)</f>
        <v>#REF!</v>
      </c>
      <c r="CZ10" t="e">
        <f>AND(#REF!,"AAAAAHf/v2c=")</f>
        <v>#REF!</v>
      </c>
      <c r="DA10" t="e">
        <f>AND(#REF!,"AAAAAHf/v2g=")</f>
        <v>#REF!</v>
      </c>
      <c r="DB10" t="e">
        <f>AND(#REF!,"AAAAAHf/v2k=")</f>
        <v>#REF!</v>
      </c>
      <c r="DC10" t="e">
        <f>AND(#REF!,"AAAAAHf/v2o=")</f>
        <v>#REF!</v>
      </c>
      <c r="DD10" t="e">
        <f>AND(#REF!,"AAAAAHf/v2s=")</f>
        <v>#REF!</v>
      </c>
      <c r="DE10" t="e">
        <f>IF(#REF!,"AAAAAHf/v2w=",0)</f>
        <v>#REF!</v>
      </c>
      <c r="DF10" t="e">
        <f>AND(#REF!,"AAAAAHf/v20=")</f>
        <v>#REF!</v>
      </c>
      <c r="DG10" t="e">
        <f>AND(#REF!,"AAAAAHf/v24=")</f>
        <v>#REF!</v>
      </c>
      <c r="DH10" t="e">
        <f>AND(#REF!,"AAAAAHf/v28=")</f>
        <v>#REF!</v>
      </c>
      <c r="DI10" t="e">
        <f>AND(#REF!,"AAAAAHf/v3A=")</f>
        <v>#REF!</v>
      </c>
      <c r="DJ10" t="e">
        <f>AND(#REF!,"AAAAAHf/v3E=")</f>
        <v>#REF!</v>
      </c>
      <c r="DK10" t="e">
        <f>IF(#REF!,"AAAAAHf/v3I=",0)</f>
        <v>#REF!</v>
      </c>
      <c r="DL10" t="e">
        <f>AND(#REF!,"AAAAAHf/v3M=")</f>
        <v>#REF!</v>
      </c>
      <c r="DM10" t="e">
        <f>AND(#REF!,"AAAAAHf/v3Q=")</f>
        <v>#REF!</v>
      </c>
      <c r="DN10" t="e">
        <f>AND(#REF!,"AAAAAHf/v3U=")</f>
        <v>#REF!</v>
      </c>
      <c r="DO10" t="e">
        <f>AND(#REF!,"AAAAAHf/v3Y=")</f>
        <v>#REF!</v>
      </c>
      <c r="DP10" t="e">
        <f>AND(#REF!,"AAAAAHf/v3c=")</f>
        <v>#REF!</v>
      </c>
      <c r="DQ10" t="e">
        <f>IF(#REF!,"AAAAAHf/v3g=",0)</f>
        <v>#REF!</v>
      </c>
      <c r="DR10" t="e">
        <f>AND(#REF!,"AAAAAHf/v3k=")</f>
        <v>#REF!</v>
      </c>
      <c r="DS10" t="e">
        <f>AND(#REF!,"AAAAAHf/v3o=")</f>
        <v>#REF!</v>
      </c>
      <c r="DT10" t="e">
        <f>AND(#REF!,"AAAAAHf/v3s=")</f>
        <v>#REF!</v>
      </c>
      <c r="DU10" t="e">
        <f>AND(#REF!,"AAAAAHf/v3w=")</f>
        <v>#REF!</v>
      </c>
      <c r="DV10" t="e">
        <f>AND(#REF!,"AAAAAHf/v30=")</f>
        <v>#REF!</v>
      </c>
      <c r="DW10" t="e">
        <f>IF(#REF!,"AAAAAHf/v34=",0)</f>
        <v>#REF!</v>
      </c>
      <c r="DX10" t="e">
        <f>AND(#REF!,"AAAAAHf/v38=")</f>
        <v>#REF!</v>
      </c>
      <c r="DY10" t="e">
        <f>AND(#REF!,"AAAAAHf/v4A=")</f>
        <v>#REF!</v>
      </c>
      <c r="DZ10" t="e">
        <f>AND(#REF!,"AAAAAHf/v4E=")</f>
        <v>#REF!</v>
      </c>
      <c r="EA10" t="e">
        <f>AND(#REF!,"AAAAAHf/v4I=")</f>
        <v>#REF!</v>
      </c>
      <c r="EB10" t="e">
        <f>AND(#REF!,"AAAAAHf/v4M=")</f>
        <v>#REF!</v>
      </c>
      <c r="EC10" t="e">
        <f>IF(#REF!,"AAAAAHf/v4Q=",0)</f>
        <v>#REF!</v>
      </c>
      <c r="ED10" t="e">
        <f>AND(#REF!,"AAAAAHf/v4U=")</f>
        <v>#REF!</v>
      </c>
      <c r="EE10" t="e">
        <f>AND(#REF!,"AAAAAHf/v4Y=")</f>
        <v>#REF!</v>
      </c>
      <c r="EF10" t="e">
        <f>AND(#REF!,"AAAAAHf/v4c=")</f>
        <v>#REF!</v>
      </c>
      <c r="EG10" t="e">
        <f>AND(#REF!,"AAAAAHf/v4g=")</f>
        <v>#REF!</v>
      </c>
      <c r="EH10" t="e">
        <f>AND(#REF!,"AAAAAHf/v4k=")</f>
        <v>#REF!</v>
      </c>
      <c r="EI10" t="e">
        <f>IF(#REF!,"AAAAAHf/v4o=",0)</f>
        <v>#REF!</v>
      </c>
      <c r="EJ10" t="e">
        <f>AND(#REF!,"AAAAAHf/v4s=")</f>
        <v>#REF!</v>
      </c>
      <c r="EK10" t="e">
        <f>AND(#REF!,"AAAAAHf/v4w=")</f>
        <v>#REF!</v>
      </c>
      <c r="EL10" t="e">
        <f>AND(#REF!,"AAAAAHf/v40=")</f>
        <v>#REF!</v>
      </c>
      <c r="EM10" t="e">
        <f>AND(#REF!,"AAAAAHf/v44=")</f>
        <v>#REF!</v>
      </c>
      <c r="EN10" t="e">
        <f>AND(#REF!,"AAAAAHf/v48=")</f>
        <v>#REF!</v>
      </c>
      <c r="EO10" t="e">
        <f>IF(#REF!,"AAAAAHf/v5A=",0)</f>
        <v>#REF!</v>
      </c>
      <c r="EP10" t="e">
        <f>AND(#REF!,"AAAAAHf/v5E=")</f>
        <v>#REF!</v>
      </c>
      <c r="EQ10" t="e">
        <f>AND(#REF!,"AAAAAHf/v5I=")</f>
        <v>#REF!</v>
      </c>
      <c r="ER10" t="e">
        <f>AND(#REF!,"AAAAAHf/v5M=")</f>
        <v>#REF!</v>
      </c>
      <c r="ES10" t="e">
        <f>AND(#REF!,"AAAAAHf/v5Q=")</f>
        <v>#REF!</v>
      </c>
      <c r="ET10" t="e">
        <f>AND(#REF!,"AAAAAHf/v5U=")</f>
        <v>#REF!</v>
      </c>
      <c r="EU10" t="e">
        <f>IF(#REF!,"AAAAAHf/v5Y=",0)</f>
        <v>#REF!</v>
      </c>
      <c r="EV10" t="e">
        <f>AND(#REF!,"AAAAAHf/v5c=")</f>
        <v>#REF!</v>
      </c>
      <c r="EW10" t="e">
        <f>AND(#REF!,"AAAAAHf/v5g=")</f>
        <v>#REF!</v>
      </c>
      <c r="EX10" t="e">
        <f>AND(#REF!,"AAAAAHf/v5k=")</f>
        <v>#REF!</v>
      </c>
      <c r="EY10" t="e">
        <f>AND(#REF!,"AAAAAHf/v5o=")</f>
        <v>#REF!</v>
      </c>
      <c r="EZ10" t="e">
        <f>AND(#REF!,"AAAAAHf/v5s=")</f>
        <v>#REF!</v>
      </c>
      <c r="FA10" t="e">
        <f>IF(#REF!,"AAAAAHf/v5w=",0)</f>
        <v>#REF!</v>
      </c>
      <c r="FB10" t="e">
        <f>AND(#REF!,"AAAAAHf/v50=")</f>
        <v>#REF!</v>
      </c>
      <c r="FC10" t="e">
        <f>AND(#REF!,"AAAAAHf/v54=")</f>
        <v>#REF!</v>
      </c>
      <c r="FD10" t="e">
        <f>AND(#REF!,"AAAAAHf/v58=")</f>
        <v>#REF!</v>
      </c>
      <c r="FE10" t="e">
        <f>AND(#REF!,"AAAAAHf/v6A=")</f>
        <v>#REF!</v>
      </c>
      <c r="FF10" t="e">
        <f>AND(#REF!,"AAAAAHf/v6E=")</f>
        <v>#REF!</v>
      </c>
      <c r="FG10" t="e">
        <f>IF(#REF!,"AAAAAHf/v6I=",0)</f>
        <v>#REF!</v>
      </c>
      <c r="FH10" t="e">
        <f>AND(#REF!,"AAAAAHf/v6M=")</f>
        <v>#REF!</v>
      </c>
      <c r="FI10" t="e">
        <f>AND(#REF!,"AAAAAHf/v6Q=")</f>
        <v>#REF!</v>
      </c>
      <c r="FJ10" t="e">
        <f>AND(#REF!,"AAAAAHf/v6U=")</f>
        <v>#REF!</v>
      </c>
      <c r="FK10" t="e">
        <f>AND(#REF!,"AAAAAHf/v6Y=")</f>
        <v>#REF!</v>
      </c>
      <c r="FL10" t="e">
        <f>AND(#REF!,"AAAAAHf/v6c=")</f>
        <v>#REF!</v>
      </c>
      <c r="FM10" t="e">
        <f>IF(#REF!,"AAAAAHf/v6g=",0)</f>
        <v>#REF!</v>
      </c>
      <c r="FN10" t="e">
        <f>AND(#REF!,"AAAAAHf/v6k=")</f>
        <v>#REF!</v>
      </c>
      <c r="FO10" t="e">
        <f>AND(#REF!,"AAAAAHf/v6o=")</f>
        <v>#REF!</v>
      </c>
      <c r="FP10" t="e">
        <f>AND(#REF!,"AAAAAHf/v6s=")</f>
        <v>#REF!</v>
      </c>
      <c r="FQ10" t="e">
        <f>AND(#REF!,"AAAAAHf/v6w=")</f>
        <v>#REF!</v>
      </c>
      <c r="FR10" t="e">
        <f>AND(#REF!,"AAAAAHf/v60=")</f>
        <v>#REF!</v>
      </c>
      <c r="FS10" t="e">
        <f>IF(#REF!,"AAAAAHf/v64=",0)</f>
        <v>#REF!</v>
      </c>
      <c r="FT10" t="e">
        <f>AND(#REF!,"AAAAAHf/v68=")</f>
        <v>#REF!</v>
      </c>
      <c r="FU10" t="e">
        <f>AND(#REF!,"AAAAAHf/v7A=")</f>
        <v>#REF!</v>
      </c>
      <c r="FV10" t="e">
        <f>AND(#REF!,"AAAAAHf/v7E=")</f>
        <v>#REF!</v>
      </c>
      <c r="FW10" t="e">
        <f>AND(#REF!,"AAAAAHf/v7I=")</f>
        <v>#REF!</v>
      </c>
      <c r="FX10" t="e">
        <f>AND(#REF!,"AAAAAHf/v7M=")</f>
        <v>#REF!</v>
      </c>
      <c r="FY10" t="e">
        <f>IF(#REF!,"AAAAAHf/v7Q=",0)</f>
        <v>#REF!</v>
      </c>
      <c r="FZ10" t="e">
        <f>AND(#REF!,"AAAAAHf/v7U=")</f>
        <v>#REF!</v>
      </c>
      <c r="GA10" t="e">
        <f>AND(#REF!,"AAAAAHf/v7Y=")</f>
        <v>#REF!</v>
      </c>
      <c r="GB10" t="e">
        <f>AND(#REF!,"AAAAAHf/v7c=")</f>
        <v>#REF!</v>
      </c>
      <c r="GC10" t="e">
        <f>AND(#REF!,"AAAAAHf/v7g=")</f>
        <v>#REF!</v>
      </c>
      <c r="GD10" t="e">
        <f>AND(#REF!,"AAAAAHf/v7k=")</f>
        <v>#REF!</v>
      </c>
      <c r="GE10" t="e">
        <f>IF(#REF!,"AAAAAHf/v7o=",0)</f>
        <v>#REF!</v>
      </c>
      <c r="GF10" t="e">
        <f>AND(#REF!,"AAAAAHf/v7s=")</f>
        <v>#REF!</v>
      </c>
      <c r="GG10" t="e">
        <f>AND(#REF!,"AAAAAHf/v7w=")</f>
        <v>#REF!</v>
      </c>
      <c r="GH10" t="e">
        <f>AND(#REF!,"AAAAAHf/v70=")</f>
        <v>#REF!</v>
      </c>
      <c r="GI10" t="e">
        <f>AND(#REF!,"AAAAAHf/v74=")</f>
        <v>#REF!</v>
      </c>
      <c r="GJ10" t="e">
        <f>AND(#REF!,"AAAAAHf/v78=")</f>
        <v>#REF!</v>
      </c>
      <c r="GK10" t="e">
        <f>IF(#REF!,"AAAAAHf/v8A=",0)</f>
        <v>#REF!</v>
      </c>
      <c r="GL10" t="e">
        <f>AND(#REF!,"AAAAAHf/v8E=")</f>
        <v>#REF!</v>
      </c>
      <c r="GM10" t="e">
        <f>AND(#REF!,"AAAAAHf/v8I=")</f>
        <v>#REF!</v>
      </c>
      <c r="GN10" t="e">
        <f>AND(#REF!,"AAAAAHf/v8M=")</f>
        <v>#REF!</v>
      </c>
      <c r="GO10" t="e">
        <f>AND(#REF!,"AAAAAHf/v8Q=")</f>
        <v>#REF!</v>
      </c>
      <c r="GP10" t="e">
        <f>AND(#REF!,"AAAAAHf/v8U=")</f>
        <v>#REF!</v>
      </c>
      <c r="GQ10" t="e">
        <f>IF(#REF!,"AAAAAHf/v8Y=",0)</f>
        <v>#REF!</v>
      </c>
      <c r="GR10" t="e">
        <f>AND(#REF!,"AAAAAHf/v8c=")</f>
        <v>#REF!</v>
      </c>
      <c r="GS10" t="e">
        <f>AND(#REF!,"AAAAAHf/v8g=")</f>
        <v>#REF!</v>
      </c>
      <c r="GT10" t="e">
        <f>AND(#REF!,"AAAAAHf/v8k=")</f>
        <v>#REF!</v>
      </c>
      <c r="GU10" t="e">
        <f>AND(#REF!,"AAAAAHf/v8o=")</f>
        <v>#REF!</v>
      </c>
      <c r="GV10" t="e">
        <f>AND(#REF!,"AAAAAHf/v8s=")</f>
        <v>#REF!</v>
      </c>
      <c r="GW10" t="e">
        <f>IF(#REF!,"AAAAAHf/v8w=",0)</f>
        <v>#REF!</v>
      </c>
      <c r="GX10" t="e">
        <f>AND(#REF!,"AAAAAHf/v80=")</f>
        <v>#REF!</v>
      </c>
      <c r="GY10" t="e">
        <f>AND(#REF!,"AAAAAHf/v84=")</f>
        <v>#REF!</v>
      </c>
      <c r="GZ10" t="e">
        <f>AND(#REF!,"AAAAAHf/v88=")</f>
        <v>#REF!</v>
      </c>
      <c r="HA10" t="e">
        <f>AND(#REF!,"AAAAAHf/v9A=")</f>
        <v>#REF!</v>
      </c>
      <c r="HB10" t="e">
        <f>AND(#REF!,"AAAAAHf/v9E=")</f>
        <v>#REF!</v>
      </c>
      <c r="HC10" t="e">
        <f>IF(#REF!,"AAAAAHf/v9I=",0)</f>
        <v>#REF!</v>
      </c>
      <c r="HD10" t="e">
        <f>AND(#REF!,"AAAAAHf/v9M=")</f>
        <v>#REF!</v>
      </c>
      <c r="HE10" t="e">
        <f>AND(#REF!,"AAAAAHf/v9Q=")</f>
        <v>#REF!</v>
      </c>
      <c r="HF10" t="e">
        <f>AND(#REF!,"AAAAAHf/v9U=")</f>
        <v>#REF!</v>
      </c>
      <c r="HG10" t="e">
        <f>AND(#REF!,"AAAAAHf/v9Y=")</f>
        <v>#REF!</v>
      </c>
      <c r="HH10" t="e">
        <f>AND(#REF!,"AAAAAHf/v9c=")</f>
        <v>#REF!</v>
      </c>
      <c r="HI10" t="e">
        <f>IF(#REF!,"AAAAAHf/v9g=",0)</f>
        <v>#REF!</v>
      </c>
      <c r="HJ10" t="e">
        <f>AND(#REF!,"AAAAAHf/v9k=")</f>
        <v>#REF!</v>
      </c>
      <c r="HK10" t="e">
        <f>AND(#REF!,"AAAAAHf/v9o=")</f>
        <v>#REF!</v>
      </c>
      <c r="HL10" t="e">
        <f>AND(#REF!,"AAAAAHf/v9s=")</f>
        <v>#REF!</v>
      </c>
      <c r="HM10" t="e">
        <f>AND(#REF!,"AAAAAHf/v9w=")</f>
        <v>#REF!</v>
      </c>
      <c r="HN10" t="e">
        <f>AND(#REF!,"AAAAAHf/v90=")</f>
        <v>#REF!</v>
      </c>
      <c r="HO10" t="e">
        <f>IF(#REF!,"AAAAAHf/v94=",0)</f>
        <v>#REF!</v>
      </c>
      <c r="HP10" t="e">
        <f>AND(#REF!,"AAAAAHf/v98=")</f>
        <v>#REF!</v>
      </c>
      <c r="HQ10" t="e">
        <f>AND(#REF!,"AAAAAHf/v+A=")</f>
        <v>#REF!</v>
      </c>
      <c r="HR10" t="e">
        <f>AND(#REF!,"AAAAAHf/v+E=")</f>
        <v>#REF!</v>
      </c>
      <c r="HS10" t="e">
        <f>AND(#REF!,"AAAAAHf/v+I=")</f>
        <v>#REF!</v>
      </c>
      <c r="HT10" t="e">
        <f>AND(#REF!,"AAAAAHf/v+M=")</f>
        <v>#REF!</v>
      </c>
      <c r="HU10" t="e">
        <f>IF(#REF!,"AAAAAHf/v+Q=",0)</f>
        <v>#REF!</v>
      </c>
      <c r="HV10" t="e">
        <f>AND(#REF!,"AAAAAHf/v+U=")</f>
        <v>#REF!</v>
      </c>
      <c r="HW10" t="e">
        <f>AND(#REF!,"AAAAAHf/v+Y=")</f>
        <v>#REF!</v>
      </c>
      <c r="HX10" t="e">
        <f>AND(#REF!,"AAAAAHf/v+c=")</f>
        <v>#REF!</v>
      </c>
      <c r="HY10" t="e">
        <f>AND(#REF!,"AAAAAHf/v+g=")</f>
        <v>#REF!</v>
      </c>
      <c r="HZ10" t="e">
        <f>AND(#REF!,"AAAAAHf/v+k=")</f>
        <v>#REF!</v>
      </c>
      <c r="IA10" t="e">
        <f>IF(#REF!,"AAAAAHf/v+o=",0)</f>
        <v>#REF!</v>
      </c>
      <c r="IB10" t="e">
        <f>AND(#REF!,"AAAAAHf/v+s=")</f>
        <v>#REF!</v>
      </c>
      <c r="IC10" t="e">
        <f>AND(#REF!,"AAAAAHf/v+w=")</f>
        <v>#REF!</v>
      </c>
      <c r="ID10" t="e">
        <f>AND(#REF!,"AAAAAHf/v+0=")</f>
        <v>#REF!</v>
      </c>
      <c r="IE10" t="e">
        <f>AND(#REF!,"AAAAAHf/v+4=")</f>
        <v>#REF!</v>
      </c>
      <c r="IF10" t="e">
        <f>AND(#REF!,"AAAAAHf/v+8=")</f>
        <v>#REF!</v>
      </c>
      <c r="IG10" t="e">
        <f>IF(#REF!,"AAAAAHf/v/A=",0)</f>
        <v>#REF!</v>
      </c>
      <c r="IH10" t="e">
        <f>AND(#REF!,"AAAAAHf/v/E=")</f>
        <v>#REF!</v>
      </c>
      <c r="II10" t="e">
        <f>AND(#REF!,"AAAAAHf/v/I=")</f>
        <v>#REF!</v>
      </c>
      <c r="IJ10" t="e">
        <f>AND(#REF!,"AAAAAHf/v/M=")</f>
        <v>#REF!</v>
      </c>
      <c r="IK10" t="e">
        <f>AND(#REF!,"AAAAAHf/v/Q=")</f>
        <v>#REF!</v>
      </c>
      <c r="IL10" t="e">
        <f>AND(#REF!,"AAAAAHf/v/U=")</f>
        <v>#REF!</v>
      </c>
      <c r="IM10" t="e">
        <f>IF(#REF!,"AAAAAHf/v/Y=",0)</f>
        <v>#REF!</v>
      </c>
      <c r="IN10" t="e">
        <f>AND(#REF!,"AAAAAHf/v/c=")</f>
        <v>#REF!</v>
      </c>
      <c r="IO10" t="e">
        <f>AND(#REF!,"AAAAAHf/v/g=")</f>
        <v>#REF!</v>
      </c>
      <c r="IP10" t="e">
        <f>AND(#REF!,"AAAAAHf/v/k=")</f>
        <v>#REF!</v>
      </c>
      <c r="IQ10" t="e">
        <f>AND(#REF!,"AAAAAHf/v/o=")</f>
        <v>#REF!</v>
      </c>
      <c r="IR10" t="e">
        <f>AND(#REF!,"AAAAAHf/v/s=")</f>
        <v>#REF!</v>
      </c>
      <c r="IS10" t="e">
        <f>IF(#REF!,"AAAAAHf/v/w=",0)</f>
        <v>#REF!</v>
      </c>
      <c r="IT10" t="e">
        <f>AND(#REF!,"AAAAAHf/v/0=")</f>
        <v>#REF!</v>
      </c>
      <c r="IU10" t="e">
        <f>AND(#REF!,"AAAAAHf/v/4=")</f>
        <v>#REF!</v>
      </c>
      <c r="IV10" t="e">
        <f>AND(#REF!,"AAAAAHf/v/8=")</f>
        <v>#REF!</v>
      </c>
    </row>
    <row r="11" spans="1:256">
      <c r="A11" t="e">
        <f>AND(#REF!,"AAAAAH9y/wA=")</f>
        <v>#REF!</v>
      </c>
      <c r="B11" t="e">
        <f>AND(#REF!,"AAAAAH9y/wE=")</f>
        <v>#REF!</v>
      </c>
      <c r="C11" t="e">
        <f>IF(#REF!,"AAAAAH9y/wI=",0)</f>
        <v>#REF!</v>
      </c>
      <c r="D11" t="e">
        <f>AND(#REF!,"AAAAAH9y/wM=")</f>
        <v>#REF!</v>
      </c>
      <c r="E11" t="e">
        <f>AND(#REF!,"AAAAAH9y/wQ=")</f>
        <v>#REF!</v>
      </c>
      <c r="F11" t="e">
        <f>AND(#REF!,"AAAAAH9y/wU=")</f>
        <v>#REF!</v>
      </c>
      <c r="G11" t="e">
        <f>AND(#REF!,"AAAAAH9y/wY=")</f>
        <v>#REF!</v>
      </c>
      <c r="H11" t="e">
        <f>AND(#REF!,"AAAAAH9y/wc=")</f>
        <v>#REF!</v>
      </c>
      <c r="I11" t="e">
        <f>IF(#REF!,"AAAAAH9y/wg=",0)</f>
        <v>#REF!</v>
      </c>
      <c r="J11" t="e">
        <f>AND(#REF!,"AAAAAH9y/wk=")</f>
        <v>#REF!</v>
      </c>
      <c r="K11" t="e">
        <f>AND(#REF!,"AAAAAH9y/wo=")</f>
        <v>#REF!</v>
      </c>
      <c r="L11" t="e">
        <f>AND(#REF!,"AAAAAH9y/ws=")</f>
        <v>#REF!</v>
      </c>
      <c r="M11" t="e">
        <f>AND(#REF!,"AAAAAH9y/ww=")</f>
        <v>#REF!</v>
      </c>
      <c r="N11" t="e">
        <f>AND(#REF!,"AAAAAH9y/w0=")</f>
        <v>#REF!</v>
      </c>
      <c r="O11" t="e">
        <f>IF(#REF!,"AAAAAH9y/w4=",0)</f>
        <v>#REF!</v>
      </c>
      <c r="P11" t="e">
        <f>AND(#REF!,"AAAAAH9y/w8=")</f>
        <v>#REF!</v>
      </c>
      <c r="Q11" t="e">
        <f>AND(#REF!,"AAAAAH9y/xA=")</f>
        <v>#REF!</v>
      </c>
      <c r="R11" t="e">
        <f>AND(#REF!,"AAAAAH9y/xE=")</f>
        <v>#REF!</v>
      </c>
      <c r="S11" t="e">
        <f>AND(#REF!,"AAAAAH9y/xI=")</f>
        <v>#REF!</v>
      </c>
      <c r="T11" t="e">
        <f>AND(#REF!,"AAAAAH9y/xM=")</f>
        <v>#REF!</v>
      </c>
      <c r="U11" t="e">
        <f>IF(#REF!,"AAAAAH9y/xQ=",0)</f>
        <v>#REF!</v>
      </c>
      <c r="V11" t="e">
        <f>AND(#REF!,"AAAAAH9y/xU=")</f>
        <v>#REF!</v>
      </c>
      <c r="W11" t="e">
        <f>AND(#REF!,"AAAAAH9y/xY=")</f>
        <v>#REF!</v>
      </c>
      <c r="X11" t="e">
        <f>AND(#REF!,"AAAAAH9y/xc=")</f>
        <v>#REF!</v>
      </c>
      <c r="Y11" t="e">
        <f>AND(#REF!,"AAAAAH9y/xg=")</f>
        <v>#REF!</v>
      </c>
      <c r="Z11" t="e">
        <f>AND(#REF!,"AAAAAH9y/xk=")</f>
        <v>#REF!</v>
      </c>
      <c r="AA11" t="e">
        <f>IF(#REF!,"AAAAAH9y/xo=",0)</f>
        <v>#REF!</v>
      </c>
      <c r="AB11" t="e">
        <f>AND(#REF!,"AAAAAH9y/xs=")</f>
        <v>#REF!</v>
      </c>
      <c r="AC11" t="e">
        <f>AND(#REF!,"AAAAAH9y/xw=")</f>
        <v>#REF!</v>
      </c>
      <c r="AD11" t="e">
        <f>AND(#REF!,"AAAAAH9y/x0=")</f>
        <v>#REF!</v>
      </c>
      <c r="AE11" t="e">
        <f>AND(#REF!,"AAAAAH9y/x4=")</f>
        <v>#REF!</v>
      </c>
      <c r="AF11" t="e">
        <f>AND(#REF!,"AAAAAH9y/x8=")</f>
        <v>#REF!</v>
      </c>
      <c r="AG11" t="e">
        <f>IF(#REF!,"AAAAAH9y/yA=",0)</f>
        <v>#REF!</v>
      </c>
      <c r="AH11" t="e">
        <f>AND(#REF!,"AAAAAH9y/yE=")</f>
        <v>#REF!</v>
      </c>
      <c r="AI11" t="e">
        <f>AND(#REF!,"AAAAAH9y/yI=")</f>
        <v>#REF!</v>
      </c>
      <c r="AJ11" t="e">
        <f>AND(#REF!,"AAAAAH9y/yM=")</f>
        <v>#REF!</v>
      </c>
      <c r="AK11" t="e">
        <f>AND(#REF!,"AAAAAH9y/yQ=")</f>
        <v>#REF!</v>
      </c>
      <c r="AL11" t="e">
        <f>AND(#REF!,"AAAAAH9y/yU=")</f>
        <v>#REF!</v>
      </c>
      <c r="AM11" t="e">
        <f>IF(#REF!,"AAAAAH9y/yY=",0)</f>
        <v>#REF!</v>
      </c>
      <c r="AN11" t="e">
        <f>IF(#REF!,"AAAAAH9y/yc=",0)</f>
        <v>#REF!</v>
      </c>
      <c r="AO11" t="e">
        <f>IF(#REF!,"AAAAAH9y/yg=",0)</f>
        <v>#REF!</v>
      </c>
      <c r="AP11" t="e">
        <f>IF(#REF!,"AAAAAH9y/yk=",0)</f>
        <v>#REF!</v>
      </c>
      <c r="AQ11" t="e">
        <f>IF(#REF!,"AAAAAH9y/yo=",0)</f>
        <v>#REF!</v>
      </c>
      <c r="AR11" s="1" t="s">
        <v>6</v>
      </c>
      <c r="AS11" t="s">
        <v>7</v>
      </c>
      <c r="AT11" s="2" t="s">
        <v>8</v>
      </c>
      <c r="AU11" t="e">
        <f>IF("N",[0]!__PA3,"AAAAAH9y/y4=")</f>
        <v>#VALUE!</v>
      </c>
      <c r="AV11" t="e">
        <f>IF("N",__PA3,"AAAAAH9y/y8=")</f>
        <v>#VALUE!</v>
      </c>
      <c r="AW11" t="e">
        <f>IF("N",[0]!_a1,"AAAAAH9y/zA=")</f>
        <v>#VALUE!</v>
      </c>
      <c r="AX11" t="e">
        <f>IF("N",_a1,"AAAAAH9y/zE=")</f>
        <v>#VALUE!</v>
      </c>
      <c r="AY11" t="e">
        <f>IF("N",_Fill,"AAAAAH9y/zI=")</f>
        <v>#VALUE!</v>
      </c>
      <c r="AZ11" t="e">
        <f ca="1">_xlfn.SINGLE(IF("N",[0]!_xlnm._FilterDatabase,"AAAAAH9y/zM="))</f>
        <v>#NAME?</v>
      </c>
      <c r="BA11" t="e">
        <f>IF("N",[0]!_xlnm._FilterDatabase,"AAAAAH9y/zQ=")</f>
        <v>#VALUE!</v>
      </c>
      <c r="BB11" t="e">
        <f>IF("N",_Key1,"AAAAAH9y/zU=")</f>
        <v>#VALUE!</v>
      </c>
      <c r="BC11" t="e">
        <f>IF("N",_Key2,"AAAAAH9y/zY=")</f>
        <v>#VALUE!</v>
      </c>
      <c r="BD11" t="e">
        <f>IF("N",_Order1,"AAAAAH9y/zc=")</f>
        <v>#VALUE!</v>
      </c>
      <c r="BE11" t="e">
        <f>IF("N",_Order2,"AAAAAH9y/zg=")</f>
        <v>#VALUE!</v>
      </c>
      <c r="BF11" t="e">
        <f>IF("N",[0]!_PA3,"AAAAAH9y/zk=")</f>
        <v>#VALUE!</v>
      </c>
      <c r="BG11" t="e">
        <f>IF("N",_PA3,"AAAAAH9y/zo=")</f>
        <v>#VALUE!</v>
      </c>
      <c r="BH11" t="e">
        <f>IF("N",_Sort,"AAAAAH9y/zs=")</f>
        <v>#VALUE!</v>
      </c>
      <c r="BI11" t="e">
        <f>IF("N",[0]!_SU15,"AAAAAH9y/zw=")</f>
        <v>#VALUE!</v>
      </c>
      <c r="BJ11" t="e">
        <f>IF("N",_SU15,"AAAAAH9y/z0=")</f>
        <v>#VALUE!</v>
      </c>
      <c r="BK11" t="e">
        <f>IF("N",[0]!CTCT1,"AAAAAH9y/z4=")</f>
        <v>#VALUE!</v>
      </c>
      <c r="BL11" t="e">
        <f>IF("N",CTCT1,"AAAAAH9y/z8=")</f>
        <v>#VALUE!</v>
      </c>
      <c r="BM11" t="e">
        <f>IF("N",[0]!h,"AAAAAH9y/0A=")</f>
        <v>#VALUE!</v>
      </c>
      <c r="BN11" t="e">
        <f>IF("N",h,"AAAAAH9y/0E=")</f>
        <v>#VALUE!</v>
      </c>
      <c r="BO11" t="e">
        <f>IF("N",HTML_CodePage,"AAAAAH9y/0I=")</f>
        <v>#VALUE!</v>
      </c>
      <c r="BP11" t="e">
        <f>IF("N",[0]!HTML_Control,"AAAAAH9y/0M=")</f>
        <v>#VALUE!</v>
      </c>
      <c r="BQ11" t="e">
        <f>IF("N",HTML_Control,"AAAAAH9y/0Q=")</f>
        <v>#VALUE!</v>
      </c>
      <c r="BR11" t="e">
        <f>IF("N",HTML_Description,"AAAAAH9y/0U=")</f>
        <v>#VALUE!</v>
      </c>
      <c r="BS11" t="e">
        <f>IF("N",HTML_Email,"AAAAAH9y/0Y=")</f>
        <v>#VALUE!</v>
      </c>
      <c r="BT11" t="e">
        <f>IF("N",HTML_Header,"AAAAAH9y/0c=")</f>
        <v>#VALUE!</v>
      </c>
      <c r="BU11" t="e">
        <f>IF("N",HTML_LastUpdate,"AAAAAH9y/0g=")</f>
        <v>#VALUE!</v>
      </c>
      <c r="BV11" t="e">
        <f>IF("N",HTML_LineAfter,"AAAAAH9y/0k=")</f>
        <v>#VALUE!</v>
      </c>
      <c r="BW11" t="e">
        <f>IF("N",HTML_LineBefore,"AAAAAH9y/0o=")</f>
        <v>#VALUE!</v>
      </c>
      <c r="BX11" t="e">
        <f>IF("N",HTML_Name,"AAAAAH9y/0s=")</f>
        <v>#VALUE!</v>
      </c>
      <c r="BY11" t="e">
        <f>IF("N",HTML_OBDlg2,"AAAAAH9y/0w=")</f>
        <v>#VALUE!</v>
      </c>
      <c r="BZ11" t="e">
        <f>IF("N",HTML_OBDlg4,"AAAAAH9y/00=")</f>
        <v>#VALUE!</v>
      </c>
      <c r="CA11" t="e">
        <f>IF("N",HTML_OS,"AAAAAH9y/04=")</f>
        <v>#VALUE!</v>
      </c>
      <c r="CB11" t="e">
        <f>IF("N",HTML_PathFile,"AAAAAH9y/08=")</f>
        <v>#VALUE!</v>
      </c>
      <c r="CC11" t="e">
        <f>IF("N",HTML_Title,"AAAAAH9y/1A=")</f>
        <v>#VALUE!</v>
      </c>
      <c r="CD11" t="e">
        <f>IF("N",[0]!huy,"AAAAAH9y/1E=")</f>
        <v>#VALUE!</v>
      </c>
      <c r="CE11" t="e">
        <f>IF("N",huy,"AAAAAH9y/1I=")</f>
        <v>#VALUE!</v>
      </c>
      <c r="CF11" t="e">
        <f>IF("N",Introduction!_xlnm.Print_Area,"AAAAAH9y/1M=")</f>
        <v>#VALUE!</v>
      </c>
      <c r="CG11" t="e">
        <f>IF("N",[0]!wrn.chi._.tiÆt.,"AAAAAH9y/1Q=")</f>
        <v>#VALUE!</v>
      </c>
      <c r="CH11" t="e">
        <f>IF("N",wrn.chi._.tiÆt.,"AAAAAH9y/1U=")</f>
        <v>#VALUE!</v>
      </c>
    </row>
  </sheetData>
  <phoneticPr fontId="1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</vt:lpstr>
      <vt:lpstr>Introduction</vt:lpstr>
      <vt:lpstr>Introduction!Print_Area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Program Curriculum</dc:title>
  <dc:subject>1/1</dc:subject>
  <dc:creator>KienNT</dc:creator>
  <cp:keywords>curriculum</cp:keywords>
  <dc:description>Sửa đổi toàn bộ cấu trúc &amp; nội dung tài liệu.
Thêm mới nội dung mapping giữa output standard với training module
Thêm mới nội dung tổng hợp các topics trong chương trình</dc:description>
  <cp:lastModifiedBy>Nguyễn Đức Kiên</cp:lastModifiedBy>
  <cp:lastPrinted>2019-07-14T01:51:51Z</cp:lastPrinted>
  <dcterms:created xsi:type="dcterms:W3CDTF">2012-06-27T01:55:39Z</dcterms:created>
  <dcterms:modified xsi:type="dcterms:W3CDTF">2021-06-24T19:45:21Z</dcterms:modified>
  <cp:category>Template</cp:category>
  <cp:contentStatus>20/11/2012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1wkpoo1WfLEmCr-OsDANVX8pIKJG9sgkEVhT4N1QFbN8</vt:lpwstr>
  </property>
  <property fmtid="{D5CDD505-2E9C-101B-9397-08002B2CF9AE}" pid="4" name="Google.Documents.RevisionId">
    <vt:lpwstr>09994919432196301908</vt:lpwstr>
  </property>
  <property fmtid="{D5CDD505-2E9C-101B-9397-08002B2CF9AE}" pid="5" name="Google.Documents.PluginVersion">
    <vt:lpwstr>2.0.2662.553</vt:lpwstr>
  </property>
  <property fmtid="{D5CDD505-2E9C-101B-9397-08002B2CF9AE}" pid="6" name="Google.Documents.MergeIncapabilityFlags">
    <vt:i4>0</vt:i4>
  </property>
</Properties>
</file>